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oFö\Antragsberatung\AA Kalkulatoren\"/>
    </mc:Choice>
  </mc:AlternateContent>
  <bookViews>
    <workbookView xWindow="0" yWindow="0" windowWidth="25200" windowHeight="11256"/>
  </bookViews>
  <sheets>
    <sheet name="Standard" sheetId="2" r:id="rId1"/>
    <sheet name="AIF-IGF" sheetId="5" r:id="rId2"/>
    <sheet name="EFRE" sheetId="3" r:id="rId3"/>
    <sheet name="EU H2020" sheetId="6" r:id="rId4"/>
    <sheet name="Interreg" sheetId="8" r:id="rId5"/>
    <sheet name=" ZIM ab 2021" sheetId="7" r:id="rId6"/>
    <sheet name="SHK u. WHK" sheetId="4" r:id="rId7"/>
    <sheet name="Quelle " sheetId="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4" l="1"/>
  <c r="C20" i="4"/>
  <c r="N13" i="4"/>
  <c r="D13" i="4"/>
  <c r="N14" i="4"/>
  <c r="O14" i="4" s="1"/>
  <c r="P14" i="4" s="1"/>
  <c r="Q14" i="4" s="1"/>
  <c r="D14" i="4"/>
  <c r="E14" i="4" s="1"/>
  <c r="F14" i="4" s="1"/>
  <c r="G14" i="4" s="1"/>
  <c r="D42" i="7"/>
  <c r="O33" i="1"/>
  <c r="N33" i="1"/>
  <c r="M33" i="1"/>
  <c r="L33" i="1"/>
  <c r="T43" i="6" l="1"/>
  <c r="T41" i="6"/>
  <c r="T40" i="6"/>
  <c r="T39" i="6"/>
  <c r="T25" i="8"/>
  <c r="T76" i="8"/>
  <c r="T75" i="8"/>
  <c r="O70" i="8"/>
  <c r="O69" i="8"/>
  <c r="O63" i="8"/>
  <c r="O61" i="8"/>
  <c r="O65" i="8"/>
  <c r="S24" i="8"/>
  <c r="T18" i="8"/>
  <c r="T34" i="6"/>
  <c r="O34" i="6"/>
  <c r="N25" i="6"/>
  <c r="S25" i="6"/>
  <c r="T19" i="6"/>
  <c r="O19" i="6"/>
  <c r="V24" i="3"/>
  <c r="P24" i="3"/>
  <c r="T28" i="5"/>
  <c r="O28" i="5"/>
  <c r="T24" i="2"/>
  <c r="O24" i="2"/>
  <c r="J24" i="2"/>
  <c r="N24" i="8"/>
  <c r="O18" i="8"/>
  <c r="W67" i="3"/>
  <c r="W65" i="3"/>
  <c r="W66" i="3"/>
  <c r="W64" i="3"/>
  <c r="W18" i="3"/>
  <c r="Q18" i="3"/>
  <c r="U22" i="5"/>
  <c r="P22" i="5"/>
  <c r="U18" i="2"/>
  <c r="P18" i="2"/>
  <c r="K18" i="2"/>
  <c r="B90" i="1"/>
  <c r="C90" i="1"/>
  <c r="D90" i="1"/>
  <c r="E90" i="1"/>
  <c r="F90" i="1"/>
  <c r="G90" i="1"/>
  <c r="B91" i="1"/>
  <c r="C91" i="1"/>
  <c r="D91" i="1"/>
  <c r="E91" i="1"/>
  <c r="F91" i="1"/>
  <c r="G91" i="1"/>
  <c r="C92" i="1"/>
  <c r="D92" i="1"/>
  <c r="E92" i="1"/>
  <c r="F92" i="1"/>
  <c r="G92" i="1"/>
  <c r="B93" i="1"/>
  <c r="C93" i="1"/>
  <c r="D93" i="1"/>
  <c r="E93" i="1"/>
  <c r="F93" i="1"/>
  <c r="G93" i="1"/>
  <c r="B94" i="1"/>
  <c r="C94" i="1"/>
  <c r="D94" i="1"/>
  <c r="E94" i="1"/>
  <c r="F94" i="1"/>
  <c r="G94" i="1"/>
  <c r="B95" i="1"/>
  <c r="C95" i="1"/>
  <c r="D95" i="1"/>
  <c r="E95" i="1"/>
  <c r="F95" i="1"/>
  <c r="G95" i="1"/>
  <c r="B96" i="1"/>
  <c r="C96" i="1"/>
  <c r="D96" i="1"/>
  <c r="F96" i="1"/>
  <c r="G96" i="1"/>
  <c r="B97" i="1"/>
  <c r="C97" i="1"/>
  <c r="D97" i="1"/>
  <c r="E97" i="1"/>
  <c r="F97" i="1"/>
  <c r="G97" i="1"/>
  <c r="B98" i="1"/>
  <c r="C98" i="1"/>
  <c r="D98" i="1"/>
  <c r="E98" i="1"/>
  <c r="F98" i="1"/>
  <c r="G98" i="1"/>
  <c r="B99" i="1"/>
  <c r="C99" i="1"/>
  <c r="D99" i="1"/>
  <c r="E99" i="1"/>
  <c r="F99" i="1"/>
  <c r="G99" i="1"/>
  <c r="B100" i="1"/>
  <c r="C100" i="1"/>
  <c r="D100" i="1"/>
  <c r="E100" i="1"/>
  <c r="F100" i="1"/>
  <c r="G100" i="1"/>
  <c r="B101" i="1"/>
  <c r="C101" i="1"/>
  <c r="D101" i="1"/>
  <c r="E101" i="1"/>
  <c r="F101" i="1"/>
  <c r="G101" i="1"/>
  <c r="B102" i="1"/>
  <c r="C102" i="1"/>
  <c r="D102" i="1"/>
  <c r="E102" i="1"/>
  <c r="F102" i="1"/>
  <c r="G102" i="1"/>
  <c r="B103" i="1"/>
  <c r="C103" i="1"/>
  <c r="D103" i="1"/>
  <c r="E103" i="1"/>
  <c r="F103" i="1"/>
  <c r="G103" i="1"/>
  <c r="B104" i="1"/>
  <c r="C104" i="1"/>
  <c r="D104" i="1"/>
  <c r="E104" i="1"/>
  <c r="F104" i="1"/>
  <c r="G104" i="1"/>
  <c r="B105" i="1"/>
  <c r="C105" i="1"/>
  <c r="D105" i="1"/>
  <c r="E105" i="1"/>
  <c r="F105" i="1"/>
  <c r="G105" i="1"/>
  <c r="B106" i="1"/>
  <c r="C106" i="1"/>
  <c r="D106" i="1"/>
  <c r="E106" i="1"/>
  <c r="F106" i="1"/>
  <c r="G106" i="1"/>
  <c r="C107" i="1"/>
  <c r="D107" i="1"/>
  <c r="E107" i="1"/>
  <c r="F107" i="1"/>
  <c r="G107" i="1"/>
  <c r="C89" i="1"/>
  <c r="D89" i="1"/>
  <c r="E89" i="1"/>
  <c r="F89" i="1"/>
  <c r="B89" i="1"/>
  <c r="B63" i="1"/>
  <c r="C63" i="1"/>
  <c r="D63" i="1"/>
  <c r="E63" i="1"/>
  <c r="F63" i="1"/>
  <c r="G63" i="1"/>
  <c r="B64" i="1"/>
  <c r="C64" i="1"/>
  <c r="D64" i="1"/>
  <c r="E64" i="1"/>
  <c r="F64" i="1"/>
  <c r="G64" i="1"/>
  <c r="C65" i="1"/>
  <c r="D65" i="1"/>
  <c r="E65" i="1"/>
  <c r="F65" i="1"/>
  <c r="G65" i="1"/>
  <c r="B66" i="1"/>
  <c r="C66" i="1"/>
  <c r="D66" i="1"/>
  <c r="E66" i="1"/>
  <c r="F66" i="1"/>
  <c r="G66" i="1"/>
  <c r="B67" i="1"/>
  <c r="C67" i="1"/>
  <c r="D67" i="1"/>
  <c r="E67" i="1"/>
  <c r="F67" i="1"/>
  <c r="G67" i="1"/>
  <c r="B68" i="1"/>
  <c r="C68" i="1"/>
  <c r="D68" i="1"/>
  <c r="E68" i="1"/>
  <c r="F68" i="1"/>
  <c r="G68" i="1"/>
  <c r="B69" i="1"/>
  <c r="C69" i="1"/>
  <c r="D69" i="1"/>
  <c r="F69" i="1"/>
  <c r="G69" i="1"/>
  <c r="B70" i="1"/>
  <c r="C70" i="1"/>
  <c r="D70" i="1"/>
  <c r="E70" i="1"/>
  <c r="F70" i="1"/>
  <c r="G70" i="1"/>
  <c r="B71" i="1"/>
  <c r="C71" i="1"/>
  <c r="D71" i="1"/>
  <c r="E71" i="1"/>
  <c r="F71" i="1"/>
  <c r="G71" i="1"/>
  <c r="B72" i="1"/>
  <c r="C72" i="1"/>
  <c r="D72" i="1"/>
  <c r="E72" i="1"/>
  <c r="F72" i="1"/>
  <c r="G72" i="1"/>
  <c r="B73" i="1"/>
  <c r="C73" i="1"/>
  <c r="D73" i="1"/>
  <c r="E73" i="1"/>
  <c r="F73" i="1"/>
  <c r="G73" i="1"/>
  <c r="B74" i="1"/>
  <c r="C74" i="1"/>
  <c r="D74" i="1"/>
  <c r="E74" i="1"/>
  <c r="F74" i="1"/>
  <c r="G74" i="1"/>
  <c r="B75" i="1"/>
  <c r="C75" i="1"/>
  <c r="D75" i="1"/>
  <c r="E75" i="1"/>
  <c r="F75" i="1"/>
  <c r="G75" i="1"/>
  <c r="B76" i="1"/>
  <c r="C76" i="1"/>
  <c r="D76" i="1"/>
  <c r="E76" i="1"/>
  <c r="F76" i="1"/>
  <c r="G76" i="1"/>
  <c r="B77" i="1"/>
  <c r="C77" i="1"/>
  <c r="D77" i="1"/>
  <c r="E77" i="1"/>
  <c r="F77" i="1"/>
  <c r="G77" i="1"/>
  <c r="B78" i="1"/>
  <c r="C78" i="1"/>
  <c r="D78" i="1"/>
  <c r="E78" i="1"/>
  <c r="F78" i="1"/>
  <c r="G78" i="1"/>
  <c r="B79" i="1"/>
  <c r="C79" i="1"/>
  <c r="D79" i="1"/>
  <c r="E79" i="1"/>
  <c r="F79" i="1"/>
  <c r="G79" i="1"/>
  <c r="C80" i="1"/>
  <c r="D80" i="1"/>
  <c r="E80" i="1"/>
  <c r="F80" i="1"/>
  <c r="G80" i="1"/>
  <c r="C62" i="1"/>
  <c r="D62" i="1"/>
  <c r="E62" i="1"/>
  <c r="F62" i="1"/>
  <c r="B62" i="1"/>
  <c r="B36" i="1"/>
  <c r="C36" i="1"/>
  <c r="D36" i="1"/>
  <c r="E36" i="1"/>
  <c r="F36" i="1"/>
  <c r="G36" i="1"/>
  <c r="B37" i="1"/>
  <c r="C37" i="1"/>
  <c r="D37" i="1"/>
  <c r="E37" i="1"/>
  <c r="F37" i="1"/>
  <c r="G37" i="1"/>
  <c r="C38" i="1"/>
  <c r="D38" i="1"/>
  <c r="E38" i="1"/>
  <c r="F38" i="1"/>
  <c r="G38" i="1"/>
  <c r="B39" i="1"/>
  <c r="C39" i="1"/>
  <c r="D39" i="1"/>
  <c r="E39" i="1"/>
  <c r="F39" i="1"/>
  <c r="G39" i="1"/>
  <c r="B40" i="1"/>
  <c r="C40" i="1"/>
  <c r="D40" i="1"/>
  <c r="E40" i="1"/>
  <c r="F40" i="1"/>
  <c r="G40" i="1"/>
  <c r="B41" i="1"/>
  <c r="C41" i="1"/>
  <c r="D41" i="1"/>
  <c r="E41" i="1"/>
  <c r="F41" i="1"/>
  <c r="G41" i="1"/>
  <c r="B42" i="1"/>
  <c r="C42" i="1"/>
  <c r="D42" i="1"/>
  <c r="E42" i="1"/>
  <c r="E69" i="1" s="1"/>
  <c r="E96" i="1" s="1"/>
  <c r="F42" i="1"/>
  <c r="G42" i="1"/>
  <c r="B43" i="1"/>
  <c r="C43" i="1"/>
  <c r="D43" i="1"/>
  <c r="E43" i="1"/>
  <c r="F43" i="1"/>
  <c r="G43" i="1"/>
  <c r="B44" i="1"/>
  <c r="C44" i="1"/>
  <c r="D44" i="1"/>
  <c r="E44" i="1"/>
  <c r="F44" i="1"/>
  <c r="G44" i="1"/>
  <c r="B45" i="1"/>
  <c r="C45" i="1"/>
  <c r="D45" i="1"/>
  <c r="E45" i="1"/>
  <c r="F45" i="1"/>
  <c r="G45" i="1"/>
  <c r="B46" i="1"/>
  <c r="C46" i="1"/>
  <c r="D46" i="1"/>
  <c r="E46" i="1"/>
  <c r="F46" i="1"/>
  <c r="G46" i="1"/>
  <c r="B47" i="1"/>
  <c r="C47" i="1"/>
  <c r="D47" i="1"/>
  <c r="E47" i="1"/>
  <c r="F47" i="1"/>
  <c r="G47" i="1"/>
  <c r="B48" i="1"/>
  <c r="C48" i="1"/>
  <c r="D48" i="1"/>
  <c r="E48" i="1"/>
  <c r="F48" i="1"/>
  <c r="G48" i="1"/>
  <c r="B49" i="1"/>
  <c r="C49" i="1"/>
  <c r="D49" i="1"/>
  <c r="E49" i="1"/>
  <c r="F49" i="1"/>
  <c r="G49" i="1"/>
  <c r="B50" i="1"/>
  <c r="C50" i="1"/>
  <c r="D50" i="1"/>
  <c r="E50" i="1"/>
  <c r="F50" i="1"/>
  <c r="G50" i="1"/>
  <c r="B51" i="1"/>
  <c r="C51" i="1"/>
  <c r="D51" i="1"/>
  <c r="E51" i="1"/>
  <c r="F51" i="1"/>
  <c r="G51" i="1"/>
  <c r="B52" i="1"/>
  <c r="C52" i="1"/>
  <c r="D52" i="1"/>
  <c r="E52" i="1"/>
  <c r="F52" i="1"/>
  <c r="G52" i="1"/>
  <c r="C53" i="1"/>
  <c r="D53" i="1"/>
  <c r="E53" i="1"/>
  <c r="F53" i="1"/>
  <c r="G53" i="1"/>
  <c r="C35" i="1"/>
  <c r="D35" i="1"/>
  <c r="E35" i="1"/>
  <c r="F35" i="1"/>
  <c r="B35" i="1"/>
  <c r="U40" i="2" l="1"/>
  <c r="U38" i="2"/>
  <c r="U39" i="2"/>
  <c r="U41" i="2"/>
  <c r="U43" i="2"/>
  <c r="W56" i="3"/>
  <c r="W60" i="3" l="1"/>
  <c r="W58" i="3"/>
  <c r="S84" i="8" l="1"/>
  <c r="S83" i="8"/>
  <c r="S82" i="8"/>
  <c r="S81" i="8"/>
  <c r="S80" i="8"/>
  <c r="S79" i="8"/>
  <c r="N74" i="8"/>
  <c r="N73" i="8"/>
  <c r="N72" i="8"/>
  <c r="N71" i="8"/>
  <c r="N70" i="8"/>
  <c r="N69" i="8"/>
  <c r="I64" i="8"/>
  <c r="I63" i="8"/>
  <c r="I62" i="8"/>
  <c r="I61" i="8"/>
  <c r="I60" i="8"/>
  <c r="I59" i="8"/>
  <c r="D54" i="8"/>
  <c r="D53" i="8"/>
  <c r="D52" i="8"/>
  <c r="D51" i="8"/>
  <c r="D50" i="8"/>
  <c r="D49" i="8"/>
  <c r="T16" i="8"/>
  <c r="T15" i="8"/>
  <c r="O16" i="8"/>
  <c r="O15" i="8"/>
  <c r="V69" i="3"/>
  <c r="W69" i="3" s="1"/>
  <c r="V68" i="3"/>
  <c r="W68" i="3" s="1"/>
  <c r="V67" i="3"/>
  <c r="V66" i="3"/>
  <c r="V65" i="3"/>
  <c r="V64" i="3"/>
  <c r="P69" i="3"/>
  <c r="P68" i="3"/>
  <c r="P67" i="3"/>
  <c r="P66" i="3"/>
  <c r="P70" i="3" s="1"/>
  <c r="P65" i="3"/>
  <c r="P64" i="3"/>
  <c r="J69" i="3"/>
  <c r="J68" i="3"/>
  <c r="J67" i="3"/>
  <c r="J66" i="3"/>
  <c r="J65" i="3"/>
  <c r="J64" i="3"/>
  <c r="D69" i="3"/>
  <c r="D68" i="3"/>
  <c r="D67" i="3"/>
  <c r="D66" i="3"/>
  <c r="D65" i="3"/>
  <c r="D64" i="3"/>
  <c r="S43" i="6"/>
  <c r="S42" i="6"/>
  <c r="T42" i="6" s="1"/>
  <c r="S41" i="6"/>
  <c r="S40" i="6"/>
  <c r="S39" i="6"/>
  <c r="S38" i="6"/>
  <c r="N43" i="6"/>
  <c r="N42" i="6"/>
  <c r="N41" i="6"/>
  <c r="N40" i="6"/>
  <c r="N39" i="6"/>
  <c r="N38" i="6"/>
  <c r="I43" i="6"/>
  <c r="I42" i="6"/>
  <c r="I41" i="6"/>
  <c r="I40" i="6"/>
  <c r="I39" i="6"/>
  <c r="I38" i="6"/>
  <c r="D43" i="6"/>
  <c r="D42" i="6"/>
  <c r="D41" i="6"/>
  <c r="D40" i="6"/>
  <c r="D39" i="6"/>
  <c r="D38" i="6"/>
  <c r="T17" i="6"/>
  <c r="T16" i="6"/>
  <c r="O17" i="6"/>
  <c r="O16" i="6"/>
  <c r="W16" i="3"/>
  <c r="W15" i="3"/>
  <c r="Q20" i="3"/>
  <c r="Q16" i="3"/>
  <c r="Q15" i="3"/>
  <c r="V70" i="3" l="1"/>
  <c r="W70" i="3" s="1"/>
  <c r="W19" i="3" s="1"/>
  <c r="W57" i="3" s="1"/>
  <c r="W61" i="3" s="1"/>
  <c r="T82" i="8"/>
  <c r="T83" i="8"/>
  <c r="O72" i="8"/>
  <c r="T84" i="8"/>
  <c r="O74" i="8"/>
  <c r="O42" i="6"/>
  <c r="Q69" i="3"/>
  <c r="T71" i="8"/>
  <c r="T73" i="8" s="1"/>
  <c r="T79" i="8"/>
  <c r="T81" i="8"/>
  <c r="N44" i="6"/>
  <c r="T80" i="8"/>
  <c r="O40" i="6"/>
  <c r="O71" i="8"/>
  <c r="O41" i="6"/>
  <c r="O73" i="8"/>
  <c r="S44" i="6"/>
  <c r="Q68" i="3"/>
  <c r="Q64" i="3"/>
  <c r="Q67" i="3"/>
  <c r="Q66" i="3"/>
  <c r="Q56" i="3"/>
  <c r="Q60" i="3" s="1"/>
  <c r="S85" i="8"/>
  <c r="N75" i="8"/>
  <c r="T20" i="8"/>
  <c r="T72" i="8" s="1"/>
  <c r="O20" i="8"/>
  <c r="P19" i="3"/>
  <c r="Q70" i="3"/>
  <c r="Q19" i="3" s="1"/>
  <c r="Q57" i="3" s="1"/>
  <c r="Q61" i="3" s="1"/>
  <c r="Q65" i="3"/>
  <c r="S20" i="6"/>
  <c r="T38" i="6"/>
  <c r="T30" i="6"/>
  <c r="T21" i="6"/>
  <c r="O44" i="6"/>
  <c r="O20" i="6" s="1"/>
  <c r="N20" i="6"/>
  <c r="O38" i="6"/>
  <c r="O30" i="6"/>
  <c r="O21" i="6"/>
  <c r="O39" i="6"/>
  <c r="O43" i="6"/>
  <c r="W20" i="3"/>
  <c r="T46" i="5"/>
  <c r="T44" i="5"/>
  <c r="T43" i="5"/>
  <c r="T42" i="5"/>
  <c r="T41" i="5"/>
  <c r="O46" i="5"/>
  <c r="O44" i="5"/>
  <c r="O43" i="5"/>
  <c r="O42" i="5"/>
  <c r="O41" i="5"/>
  <c r="E46" i="5"/>
  <c r="E44" i="5"/>
  <c r="E43" i="5"/>
  <c r="E42" i="5"/>
  <c r="E41" i="5"/>
  <c r="J46" i="5"/>
  <c r="J44" i="5"/>
  <c r="J43" i="5"/>
  <c r="J42" i="5"/>
  <c r="J41" i="5"/>
  <c r="U20" i="5"/>
  <c r="U19" i="5"/>
  <c r="P20" i="5"/>
  <c r="P19" i="5"/>
  <c r="E43" i="2"/>
  <c r="E42" i="2"/>
  <c r="E41" i="2"/>
  <c r="E40" i="2"/>
  <c r="E39" i="2"/>
  <c r="E38" i="2"/>
  <c r="J43" i="2"/>
  <c r="J42" i="2"/>
  <c r="J41" i="2"/>
  <c r="J40" i="2"/>
  <c r="J39" i="2"/>
  <c r="J38" i="2"/>
  <c r="O43" i="2"/>
  <c r="O42" i="2"/>
  <c r="O41" i="2"/>
  <c r="O40" i="2"/>
  <c r="O39" i="2"/>
  <c r="O38" i="2"/>
  <c r="T43" i="2"/>
  <c r="T42" i="2"/>
  <c r="U42" i="2" s="1"/>
  <c r="T41" i="2"/>
  <c r="T40" i="2"/>
  <c r="T39" i="2"/>
  <c r="T38" i="2"/>
  <c r="U16" i="2"/>
  <c r="U15" i="2"/>
  <c r="P16" i="2"/>
  <c r="P15" i="2"/>
  <c r="V19" i="3" l="1"/>
  <c r="T20" i="6"/>
  <c r="T31" i="6" s="1"/>
  <c r="T44" i="6"/>
  <c r="T24" i="6"/>
  <c r="T25" i="6" s="1"/>
  <c r="T28" i="6" s="1"/>
  <c r="O31" i="6"/>
  <c r="O24" i="6"/>
  <c r="O25" i="6" s="1"/>
  <c r="O28" i="6" s="1"/>
  <c r="W23" i="3"/>
  <c r="W24" i="3" s="1"/>
  <c r="W26" i="3" s="1"/>
  <c r="T39" i="3" s="1"/>
  <c r="Q23" i="3"/>
  <c r="Q24" i="3" s="1"/>
  <c r="Q58" i="3"/>
  <c r="O47" i="5"/>
  <c r="O23" i="5" s="1"/>
  <c r="T74" i="8"/>
  <c r="T47" i="5"/>
  <c r="U47" i="5" s="1"/>
  <c r="U23" i="5" s="1"/>
  <c r="S19" i="8"/>
  <c r="T85" i="8"/>
  <c r="T19" i="8" s="1"/>
  <c r="T23" i="8" s="1"/>
  <c r="T24" i="8" s="1"/>
  <c r="T26" i="8" s="1"/>
  <c r="O75" i="8"/>
  <c r="O19" i="8" s="1"/>
  <c r="O62" i="8" s="1"/>
  <c r="O66" i="8" s="1"/>
  <c r="N19" i="8"/>
  <c r="W59" i="3"/>
  <c r="Q59" i="3"/>
  <c r="Q25" i="3"/>
  <c r="T32" i="6"/>
  <c r="O32" i="6"/>
  <c r="U37" i="3"/>
  <c r="V39" i="3"/>
  <c r="U39" i="3"/>
  <c r="T37" i="3"/>
  <c r="W27" i="3"/>
  <c r="P46" i="5"/>
  <c r="U44" i="5"/>
  <c r="U46" i="5"/>
  <c r="U42" i="5"/>
  <c r="U45" i="5"/>
  <c r="U43" i="5"/>
  <c r="U41" i="5"/>
  <c r="U33" i="5"/>
  <c r="U37" i="5" s="1"/>
  <c r="U24" i="5"/>
  <c r="P47" i="5"/>
  <c r="P23" i="5" s="1"/>
  <c r="P44" i="5"/>
  <c r="P45" i="5"/>
  <c r="P41" i="5"/>
  <c r="P33" i="5"/>
  <c r="P37" i="5" s="1"/>
  <c r="P43" i="5"/>
  <c r="P24" i="5"/>
  <c r="P42" i="5"/>
  <c r="P40" i="2"/>
  <c r="O44" i="2"/>
  <c r="P44" i="2" s="1"/>
  <c r="P19" i="2" s="1"/>
  <c r="P41" i="2"/>
  <c r="P42" i="2"/>
  <c r="P39" i="2"/>
  <c r="P43" i="2"/>
  <c r="T44" i="2"/>
  <c r="U20" i="2"/>
  <c r="U30" i="2"/>
  <c r="U34" i="2" s="1"/>
  <c r="P20" i="2"/>
  <c r="P38" i="2"/>
  <c r="P30" i="2"/>
  <c r="P34" i="2" s="1"/>
  <c r="T35" i="6" l="1"/>
  <c r="T26" i="6" s="1"/>
  <c r="T33" i="6"/>
  <c r="U44" i="2"/>
  <c r="U19" i="2" s="1"/>
  <c r="T23" i="5"/>
  <c r="Q26" i="3"/>
  <c r="P39" i="3" s="1"/>
  <c r="Q27" i="3"/>
  <c r="O33" i="6"/>
  <c r="O35" i="6"/>
  <c r="O26" i="6" s="1"/>
  <c r="V37" i="3"/>
  <c r="T27" i="8"/>
  <c r="O27" i="6"/>
  <c r="T27" i="6"/>
  <c r="O64" i="8"/>
  <c r="O23" i="8"/>
  <c r="W25" i="3"/>
  <c r="V38" i="3" s="1"/>
  <c r="U34" i="5"/>
  <c r="U38" i="5" s="1"/>
  <c r="U27" i="5"/>
  <c r="U28" i="5" s="1"/>
  <c r="U31" i="5" s="1"/>
  <c r="P34" i="5"/>
  <c r="P38" i="5" s="1"/>
  <c r="P27" i="5"/>
  <c r="P28" i="5" s="1"/>
  <c r="P30" i="5" s="1"/>
  <c r="P31" i="2"/>
  <c r="P35" i="2" s="1"/>
  <c r="P23" i="2"/>
  <c r="P24" i="2" s="1"/>
  <c r="P25" i="2" s="1"/>
  <c r="N37" i="3"/>
  <c r="O19" i="2"/>
  <c r="N39" i="3"/>
  <c r="O37" i="3"/>
  <c r="O39" i="3"/>
  <c r="T40" i="3"/>
  <c r="P40" i="3"/>
  <c r="O40" i="3"/>
  <c r="N40" i="3"/>
  <c r="N38" i="3"/>
  <c r="P38" i="3"/>
  <c r="O38" i="3"/>
  <c r="U35" i="5"/>
  <c r="P35" i="5"/>
  <c r="T19" i="2"/>
  <c r="U32" i="2"/>
  <c r="P32" i="2"/>
  <c r="U31" i="2" l="1"/>
  <c r="U35" i="2" s="1"/>
  <c r="U26" i="2" s="1"/>
  <c r="U23" i="2"/>
  <c r="U38" i="3"/>
  <c r="P37" i="3"/>
  <c r="V40" i="3"/>
  <c r="P27" i="2"/>
  <c r="O25" i="8"/>
  <c r="O24" i="8"/>
  <c r="O27" i="8" s="1"/>
  <c r="U40" i="3"/>
  <c r="T38" i="3"/>
  <c r="P36" i="5"/>
  <c r="P31" i="5"/>
  <c r="P28" i="2"/>
  <c r="U36" i="5"/>
  <c r="U30" i="5"/>
  <c r="T12" i="5"/>
  <c r="O12" i="5"/>
  <c r="P33" i="2"/>
  <c r="U29" i="5"/>
  <c r="P29" i="5"/>
  <c r="P26" i="2"/>
  <c r="U33" i="2" l="1"/>
  <c r="U24" i="2"/>
  <c r="O26" i="8"/>
  <c r="S27" i="1"/>
  <c r="U25" i="2" l="1"/>
  <c r="U28" i="2"/>
  <c r="N56" i="8"/>
  <c r="P56" i="8"/>
  <c r="O56" i="8"/>
  <c r="U27" i="2"/>
  <c r="E36" i="7"/>
  <c r="E47" i="7" l="1"/>
  <c r="E42" i="7"/>
  <c r="O12" i="4" l="1"/>
  <c r="P12" i="4" s="1"/>
  <c r="E12" i="4"/>
  <c r="F12" i="4" s="1"/>
  <c r="Q12" i="4" l="1"/>
  <c r="G12" i="4"/>
  <c r="E13" i="4"/>
  <c r="F13" i="4" s="1"/>
  <c r="O13" i="4"/>
  <c r="P13" i="4" s="1"/>
  <c r="D15" i="4"/>
  <c r="D16" i="4" s="1"/>
  <c r="N15" i="4"/>
  <c r="N16" i="4" s="1"/>
  <c r="Q40" i="3" l="1"/>
  <c r="K40" i="3"/>
  <c r="E40" i="3"/>
  <c r="W40" i="3"/>
  <c r="K38" i="3"/>
  <c r="E38" i="3"/>
  <c r="W38" i="3"/>
  <c r="Q38" i="3"/>
  <c r="O15" i="4"/>
  <c r="O16" i="4" s="1"/>
  <c r="E15" i="4"/>
  <c r="E16" i="4" s="1"/>
  <c r="G13" i="4" l="1"/>
  <c r="F15" i="4"/>
  <c r="F16" i="4" s="1"/>
  <c r="Q13" i="4"/>
  <c r="P15" i="4"/>
  <c r="P16" i="4" s="1"/>
  <c r="J18" i="8"/>
  <c r="I24" i="8"/>
  <c r="J16" i="8"/>
  <c r="J15" i="8"/>
  <c r="I25" i="6"/>
  <c r="J19" i="6"/>
  <c r="J30" i="6" s="1"/>
  <c r="J17" i="6"/>
  <c r="J16" i="6"/>
  <c r="J51" i="8" l="1"/>
  <c r="Q37" i="3"/>
  <c r="K37" i="3"/>
  <c r="E37" i="3"/>
  <c r="W37" i="3"/>
  <c r="J62" i="8"/>
  <c r="J61" i="8"/>
  <c r="Q15" i="4"/>
  <c r="Q16" i="4" s="1"/>
  <c r="G15" i="4"/>
  <c r="G16" i="4" s="1"/>
  <c r="J41" i="6"/>
  <c r="J60" i="8"/>
  <c r="J40" i="6"/>
  <c r="J63" i="8"/>
  <c r="J59" i="8"/>
  <c r="J64" i="8"/>
  <c r="J20" i="8"/>
  <c r="I65" i="8"/>
  <c r="J65" i="8" s="1"/>
  <c r="J38" i="6"/>
  <c r="J42" i="6"/>
  <c r="J43" i="6"/>
  <c r="I44" i="6"/>
  <c r="J44" i="6" s="1"/>
  <c r="J20" i="6" s="1"/>
  <c r="J21" i="6"/>
  <c r="J39" i="6"/>
  <c r="K18" i="3"/>
  <c r="J24" i="3"/>
  <c r="K16" i="3"/>
  <c r="K15" i="3"/>
  <c r="J28" i="5"/>
  <c r="K22" i="5"/>
  <c r="K20" i="5"/>
  <c r="K19" i="5"/>
  <c r="E24" i="2"/>
  <c r="K16" i="2"/>
  <c r="K15" i="2"/>
  <c r="K69" i="3" l="1"/>
  <c r="K56" i="3"/>
  <c r="K24" i="5"/>
  <c r="K33" i="5"/>
  <c r="K37" i="5" s="1"/>
  <c r="K30" i="2"/>
  <c r="K34" i="2" s="1"/>
  <c r="I20" i="6"/>
  <c r="J19" i="8"/>
  <c r="I19" i="8"/>
  <c r="J31" i="6"/>
  <c r="J35" i="6" s="1"/>
  <c r="J24" i="6"/>
  <c r="J25" i="6" s="1"/>
  <c r="K66" i="3"/>
  <c r="K67" i="3"/>
  <c r="K64" i="3"/>
  <c r="K68" i="3"/>
  <c r="K65" i="3"/>
  <c r="K20" i="3"/>
  <c r="J70" i="3"/>
  <c r="K70" i="3" s="1"/>
  <c r="K43" i="5"/>
  <c r="K44" i="5"/>
  <c r="K41" i="5"/>
  <c r="K45" i="5"/>
  <c r="K42" i="5"/>
  <c r="K46" i="5"/>
  <c r="J47" i="5"/>
  <c r="K38" i="2"/>
  <c r="K42" i="2"/>
  <c r="K20" i="2"/>
  <c r="K40" i="2"/>
  <c r="K41" i="2"/>
  <c r="K39" i="2"/>
  <c r="K43" i="2"/>
  <c r="J44" i="2"/>
  <c r="J27" i="6" l="1"/>
  <c r="J32" i="6"/>
  <c r="J34" i="6"/>
  <c r="J26" i="6" s="1"/>
  <c r="J33" i="6"/>
  <c r="J52" i="8"/>
  <c r="J56" i="8" s="1"/>
  <c r="J23" i="8"/>
  <c r="J24" i="8" s="1"/>
  <c r="J28" i="6"/>
  <c r="K19" i="3"/>
  <c r="K57" i="3" s="1"/>
  <c r="K61" i="3" s="1"/>
  <c r="J19" i="3"/>
  <c r="K47" i="5"/>
  <c r="K23" i="5" s="1"/>
  <c r="J23" i="5"/>
  <c r="K44" i="2"/>
  <c r="K19" i="2" s="1"/>
  <c r="J19" i="2"/>
  <c r="D55" i="7"/>
  <c r="D56" i="7"/>
  <c r="D57" i="7"/>
  <c r="D58" i="7"/>
  <c r="D59" i="7"/>
  <c r="D60" i="7"/>
  <c r="J54" i="8" l="1"/>
  <c r="J55" i="8"/>
  <c r="J25" i="8" s="1"/>
  <c r="J53" i="8"/>
  <c r="J26" i="8"/>
  <c r="J27" i="8"/>
  <c r="K23" i="3"/>
  <c r="K59" i="3"/>
  <c r="K34" i="5"/>
  <c r="K38" i="5" s="1"/>
  <c r="K27" i="5"/>
  <c r="J12" i="5" s="1"/>
  <c r="K31" i="2"/>
  <c r="K35" i="2" s="1"/>
  <c r="K23" i="2"/>
  <c r="K36" i="5" l="1"/>
  <c r="K33" i="2"/>
  <c r="K24" i="3"/>
  <c r="K28" i="5"/>
  <c r="K24" i="2"/>
  <c r="K28" i="2" s="1"/>
  <c r="I33" i="8"/>
  <c r="H33" i="8"/>
  <c r="G33" i="8"/>
  <c r="F33" i="8"/>
  <c r="E33" i="8"/>
  <c r="D33" i="8"/>
  <c r="I32" i="8"/>
  <c r="H32" i="8"/>
  <c r="G32" i="8"/>
  <c r="F32" i="8"/>
  <c r="E32" i="8"/>
  <c r="D32" i="8"/>
  <c r="D55" i="8"/>
  <c r="D19" i="8" s="1"/>
  <c r="D24" i="8"/>
  <c r="E18" i="8"/>
  <c r="E16" i="8"/>
  <c r="E15" i="8"/>
  <c r="H37" i="8" l="1"/>
  <c r="H35" i="8"/>
  <c r="H36" i="8"/>
  <c r="H34" i="8"/>
  <c r="I36" i="8"/>
  <c r="I34" i="8"/>
  <c r="I37" i="8"/>
  <c r="I35" i="8"/>
  <c r="E53" i="8"/>
  <c r="E41" i="8"/>
  <c r="J42" i="8"/>
  <c r="N42" i="8"/>
  <c r="L43" i="8"/>
  <c r="K42" i="8"/>
  <c r="I43" i="8"/>
  <c r="M43" i="8"/>
  <c r="L42" i="8"/>
  <c r="J43" i="8"/>
  <c r="N43" i="8"/>
  <c r="I42" i="8"/>
  <c r="M42" i="8"/>
  <c r="K43" i="8"/>
  <c r="K58" i="3"/>
  <c r="K60" i="3"/>
  <c r="K25" i="3" s="1"/>
  <c r="K27" i="3"/>
  <c r="K26" i="3"/>
  <c r="K30" i="5"/>
  <c r="K31" i="5"/>
  <c r="K27" i="2"/>
  <c r="K25" i="2"/>
  <c r="E51" i="8"/>
  <c r="E52" i="8"/>
  <c r="E55" i="8"/>
  <c r="E19" i="8" s="1"/>
  <c r="E50" i="8"/>
  <c r="E54" i="8"/>
  <c r="E20" i="8"/>
  <c r="E49" i="8"/>
  <c r="D8" i="7"/>
  <c r="N53" i="8" l="1"/>
  <c r="I45" i="8"/>
  <c r="R52" i="8"/>
  <c r="M46" i="8"/>
  <c r="M44" i="8"/>
  <c r="Q53" i="8"/>
  <c r="L45" i="8"/>
  <c r="P53" i="8"/>
  <c r="K45" i="8"/>
  <c r="N52" i="8"/>
  <c r="I44" i="8"/>
  <c r="S53" i="8"/>
  <c r="N47" i="8"/>
  <c r="N45" i="8"/>
  <c r="O52" i="8"/>
  <c r="J44" i="8"/>
  <c r="P52" i="8"/>
  <c r="K44" i="8"/>
  <c r="R53" i="8"/>
  <c r="M47" i="8"/>
  <c r="M45" i="8"/>
  <c r="S52" i="8"/>
  <c r="N46" i="8"/>
  <c r="N44" i="8"/>
  <c r="O53" i="8"/>
  <c r="J45" i="8"/>
  <c r="Q52" i="8"/>
  <c r="L44" i="8"/>
  <c r="S63" i="8"/>
  <c r="W63" i="8"/>
  <c r="V63" i="8"/>
  <c r="U62" i="8"/>
  <c r="X63" i="8"/>
  <c r="W62" i="8"/>
  <c r="T63" i="8"/>
  <c r="U63" i="8"/>
  <c r="S62" i="8"/>
  <c r="V62" i="8"/>
  <c r="I47" i="8"/>
  <c r="K47" i="8"/>
  <c r="I46" i="8"/>
  <c r="L47" i="8"/>
  <c r="J46" i="8"/>
  <c r="L46" i="8"/>
  <c r="J47" i="8"/>
  <c r="K46" i="8"/>
  <c r="H40" i="3"/>
  <c r="J38" i="3"/>
  <c r="J40" i="3"/>
  <c r="I38" i="3"/>
  <c r="I40" i="3"/>
  <c r="H38" i="3"/>
  <c r="J37" i="3"/>
  <c r="J39" i="3"/>
  <c r="I37" i="3"/>
  <c r="I39" i="3"/>
  <c r="H37" i="3"/>
  <c r="H39" i="3"/>
  <c r="K29" i="5"/>
  <c r="K35" i="5"/>
  <c r="K32" i="2"/>
  <c r="K26" i="2"/>
  <c r="E23" i="8"/>
  <c r="E42" i="8"/>
  <c r="E44" i="8" s="1"/>
  <c r="D23" i="7"/>
  <c r="D17" i="7"/>
  <c r="F17" i="7" s="1"/>
  <c r="D61" i="7"/>
  <c r="E60" i="7"/>
  <c r="E34" i="7"/>
  <c r="E33" i="7"/>
  <c r="W66" i="8" l="1"/>
  <c r="W64" i="8"/>
  <c r="V64" i="8"/>
  <c r="V66" i="8"/>
  <c r="U64" i="8"/>
  <c r="U66" i="8"/>
  <c r="P55" i="8"/>
  <c r="P57" i="8"/>
  <c r="S66" i="8"/>
  <c r="S64" i="8"/>
  <c r="V67" i="8"/>
  <c r="V65" i="8"/>
  <c r="O54" i="8"/>
  <c r="U67" i="8"/>
  <c r="U65" i="8"/>
  <c r="W67" i="8"/>
  <c r="W65" i="8"/>
  <c r="S56" i="8"/>
  <c r="S54" i="8"/>
  <c r="Q57" i="8"/>
  <c r="Q55" i="8"/>
  <c r="T67" i="8"/>
  <c r="T65" i="8"/>
  <c r="S67" i="8"/>
  <c r="S65" i="8"/>
  <c r="S57" i="8"/>
  <c r="S55" i="8"/>
  <c r="T62" i="8"/>
  <c r="Q54" i="8"/>
  <c r="Q56" i="8"/>
  <c r="R57" i="8"/>
  <c r="R55" i="8"/>
  <c r="R56" i="8"/>
  <c r="R54" i="8"/>
  <c r="X67" i="8"/>
  <c r="X65" i="8"/>
  <c r="N54" i="8"/>
  <c r="X62" i="8"/>
  <c r="O57" i="8"/>
  <c r="O55" i="8"/>
  <c r="P54" i="8"/>
  <c r="N57" i="8"/>
  <c r="N55" i="8"/>
  <c r="E46" i="8"/>
  <c r="E24" i="8"/>
  <c r="D20" i="7"/>
  <c r="E61" i="7"/>
  <c r="E37" i="7" s="1"/>
  <c r="E55" i="7"/>
  <c r="E59" i="7"/>
  <c r="E38" i="7"/>
  <c r="D18" i="7" s="1"/>
  <c r="F18" i="7" s="1"/>
  <c r="E58" i="7"/>
  <c r="E57" i="7"/>
  <c r="D37" i="7"/>
  <c r="E56" i="7"/>
  <c r="X66" i="8" l="1"/>
  <c r="X64" i="8"/>
  <c r="T64" i="8"/>
  <c r="T66" i="8"/>
  <c r="E48" i="7"/>
  <c r="E52" i="7" s="1"/>
  <c r="E26" i="8"/>
  <c r="E27" i="8"/>
  <c r="E45" i="8"/>
  <c r="E25" i="8" s="1"/>
  <c r="E43" i="8"/>
  <c r="F20" i="7"/>
  <c r="L9" i="7"/>
  <c r="E41" i="7"/>
  <c r="D37" i="8" l="1"/>
  <c r="E37" i="8"/>
  <c r="G37" i="8"/>
  <c r="F37" i="8"/>
  <c r="E35" i="8"/>
  <c r="F35" i="8"/>
  <c r="D35" i="8"/>
  <c r="G35" i="8"/>
  <c r="E36" i="8"/>
  <c r="D36" i="8"/>
  <c r="F36" i="8"/>
  <c r="G36" i="8"/>
  <c r="F34" i="8"/>
  <c r="D34" i="8"/>
  <c r="E34" i="8"/>
  <c r="G34" i="8"/>
  <c r="E50" i="7"/>
  <c r="E45" i="7"/>
  <c r="E44" i="7"/>
  <c r="E51" i="7" l="1"/>
  <c r="E43" i="7" s="1"/>
  <c r="E49" i="7"/>
  <c r="D16" i="7"/>
  <c r="F16" i="7" s="1"/>
  <c r="F19" i="7" s="1"/>
  <c r="D44" i="6"/>
  <c r="D25" i="6"/>
  <c r="E19" i="6"/>
  <c r="E17" i="6"/>
  <c r="E16" i="6"/>
  <c r="E43" i="6" l="1"/>
  <c r="E30" i="6"/>
  <c r="F21" i="7"/>
  <c r="D24" i="7" s="1"/>
  <c r="L11" i="7"/>
  <c r="E44" i="6"/>
  <c r="E20" i="6" s="1"/>
  <c r="E38" i="6"/>
  <c r="E42" i="6"/>
  <c r="D20" i="6"/>
  <c r="E21" i="6"/>
  <c r="E41" i="6"/>
  <c r="E40" i="6"/>
  <c r="E39" i="6"/>
  <c r="L13" i="7" l="1"/>
  <c r="D25" i="7"/>
  <c r="E24" i="6"/>
  <c r="E31" i="6"/>
  <c r="E35" i="6" s="1"/>
  <c r="E25" i="6" l="1"/>
  <c r="E33" i="6"/>
  <c r="E28" i="6" l="1"/>
  <c r="E27" i="6"/>
  <c r="E34" i="6"/>
  <c r="E26" i="6" s="1"/>
  <c r="E32" i="6"/>
  <c r="E47" i="5"/>
  <c r="E28" i="5"/>
  <c r="F22" i="5"/>
  <c r="F20" i="5"/>
  <c r="F19" i="5"/>
  <c r="F44" i="5" l="1"/>
  <c r="F33" i="5"/>
  <c r="F37" i="5" s="1"/>
  <c r="F43" i="5"/>
  <c r="F42" i="5"/>
  <c r="F46" i="5"/>
  <c r="F47" i="5"/>
  <c r="F23" i="5" s="1"/>
  <c r="F41" i="5"/>
  <c r="F45" i="5"/>
  <c r="E23" i="5"/>
  <c r="F24" i="5"/>
  <c r="F27" i="5" l="1"/>
  <c r="F34" i="5"/>
  <c r="F38" i="5" s="1"/>
  <c r="F28" i="5" l="1"/>
  <c r="E12" i="5"/>
  <c r="F36" i="5"/>
  <c r="F29" i="5" l="1"/>
  <c r="F35" i="5"/>
  <c r="F30" i="5"/>
  <c r="F31" i="5"/>
  <c r="E18" i="3" l="1"/>
  <c r="F18" i="2"/>
  <c r="F30" i="2" s="1"/>
  <c r="F34" i="2" s="1"/>
  <c r="D70" i="3" l="1"/>
  <c r="D24" i="3"/>
  <c r="E56" i="3" s="1"/>
  <c r="E69" i="3"/>
  <c r="E16" i="3"/>
  <c r="E15" i="3"/>
  <c r="F41" i="2"/>
  <c r="E44" i="2"/>
  <c r="E19" i="2" s="1"/>
  <c r="F16" i="2"/>
  <c r="F15" i="2"/>
  <c r="E70" i="3" l="1"/>
  <c r="E19" i="3" s="1"/>
  <c r="E64" i="3"/>
  <c r="E68" i="3"/>
  <c r="D19" i="3"/>
  <c r="E20" i="3"/>
  <c r="E67" i="3"/>
  <c r="E66" i="3"/>
  <c r="E65" i="3"/>
  <c r="F44" i="2"/>
  <c r="F19" i="2" s="1"/>
  <c r="F38" i="2"/>
  <c r="F42" i="2"/>
  <c r="F39" i="2"/>
  <c r="F43" i="2"/>
  <c r="F40" i="2"/>
  <c r="F20" i="2"/>
  <c r="F23" i="2" l="1"/>
  <c r="F24" i="2" s="1"/>
  <c r="F25" i="2" s="1"/>
  <c r="E23" i="3"/>
  <c r="E57" i="3"/>
  <c r="F31" i="2"/>
  <c r="F35" i="2" s="1"/>
  <c r="E24" i="3" l="1"/>
  <c r="F26" i="2"/>
  <c r="E59" i="3"/>
  <c r="E61" i="3"/>
  <c r="F28" i="2"/>
  <c r="F27" i="2"/>
  <c r="F33" i="2"/>
  <c r="E27" i="3" l="1"/>
  <c r="E26" i="3"/>
  <c r="D39" i="3" s="1"/>
  <c r="E60" i="3"/>
  <c r="E25" i="3" s="1"/>
  <c r="E58" i="3"/>
  <c r="F32" i="2"/>
  <c r="D37" i="3" l="1"/>
  <c r="B39" i="3"/>
  <c r="B37" i="3"/>
  <c r="C39" i="3"/>
  <c r="C37" i="3"/>
  <c r="D38" i="3"/>
  <c r="B38" i="3"/>
  <c r="B40" i="3"/>
  <c r="D40" i="3"/>
  <c r="C40" i="3"/>
  <c r="C38" i="3"/>
</calcChain>
</file>

<file path=xl/sharedStrings.xml><?xml version="1.0" encoding="utf-8"?>
<sst xmlns="http://schemas.openxmlformats.org/spreadsheetml/2006/main" count="1167" uniqueCount="221">
  <si>
    <t>Grundentgelt (AN-Brutto)</t>
  </si>
  <si>
    <t>Entwicklungsstufen</t>
  </si>
  <si>
    <t>Stufe 1</t>
  </si>
  <si>
    <t>Stufe 2</t>
  </si>
  <si>
    <t>Stufe 3</t>
  </si>
  <si>
    <t>Stufe 4</t>
  </si>
  <si>
    <t>Stufe 5</t>
  </si>
  <si>
    <t>Stufe 6</t>
  </si>
  <si>
    <t>Jahressonderzahlung</t>
  </si>
  <si>
    <t>Entgeltgruppe</t>
  </si>
  <si>
    <t>(bei Einstellung, ohne Berufserfahrung)</t>
  </si>
  <si>
    <t>nach 1 Jahr in St. 1</t>
  </si>
  <si>
    <t>nach 2 Jahren in Stufe 2,                  insg. 3 Jahre</t>
  </si>
  <si>
    <t>nach 3 Jahren in Stufe 3, insg. 6 Jahre</t>
  </si>
  <si>
    <t>nach 4 Jahren in Stufe 4, insg. 10 Jahre</t>
  </si>
  <si>
    <t xml:space="preserve">E 15Ü </t>
  </si>
  <si>
    <t xml:space="preserve">E 15 </t>
  </si>
  <si>
    <t xml:space="preserve">E 14 </t>
  </si>
  <si>
    <t xml:space="preserve">E 13Ü </t>
  </si>
  <si>
    <t xml:space="preserve">E 13 </t>
  </si>
  <si>
    <t xml:space="preserve">E 12 </t>
  </si>
  <si>
    <t xml:space="preserve">E 11 </t>
  </si>
  <si>
    <t xml:space="preserve">E 10 </t>
  </si>
  <si>
    <t>E 9b</t>
  </si>
  <si>
    <t>E 9a</t>
  </si>
  <si>
    <t xml:space="preserve">E 8 </t>
  </si>
  <si>
    <t xml:space="preserve">E 7 </t>
  </si>
  <si>
    <t xml:space="preserve">E 6 </t>
  </si>
  <si>
    <t xml:space="preserve">E 5 </t>
  </si>
  <si>
    <t xml:space="preserve">E 4 </t>
  </si>
  <si>
    <t xml:space="preserve">E 3 </t>
  </si>
  <si>
    <t xml:space="preserve">E 2Ü </t>
  </si>
  <si>
    <t xml:space="preserve">E 2 </t>
  </si>
  <si>
    <t xml:space="preserve">E 1 </t>
  </si>
  <si>
    <t>Tarif 2021</t>
  </si>
  <si>
    <t>Gültig 01.01.2021 bis 31.12.2021</t>
  </si>
  <si>
    <t>Bitte wählen Sie aus</t>
  </si>
  <si>
    <t>Vollzeitstellenäquivalent</t>
  </si>
  <si>
    <t>Stufe</t>
  </si>
  <si>
    <t>Förderprogramm Standard</t>
  </si>
  <si>
    <t>Aufbruch Kosten</t>
  </si>
  <si>
    <t>Arbeitnehmer-Brutto (AN-Brutto)</t>
  </si>
  <si>
    <t>VBL</t>
  </si>
  <si>
    <t>VBL-Steuer</t>
  </si>
  <si>
    <t>TVL</t>
  </si>
  <si>
    <t>AN= Arbeitnehmer</t>
  </si>
  <si>
    <t>AG= Arbeitgeber</t>
  </si>
  <si>
    <t>SV= Sozialversicherungsbeiträge</t>
  </si>
  <si>
    <t>VL= Vermögenswirksame Leistungen</t>
  </si>
  <si>
    <t>Arbeitgeber-Beiträge</t>
  </si>
  <si>
    <t>Rentenversicherung</t>
  </si>
  <si>
    <t>Arbeitslosenversicherung</t>
  </si>
  <si>
    <t>Krankenversicherung</t>
  </si>
  <si>
    <t>Pflegeversicherung</t>
  </si>
  <si>
    <t>VBL-Sanierungsgeld</t>
  </si>
  <si>
    <t>Insolvenzgeldumlage</t>
  </si>
  <si>
    <t>Summe</t>
  </si>
  <si>
    <t>AG-Anteil SV-Beiträge</t>
  </si>
  <si>
    <t xml:space="preserve">VL </t>
  </si>
  <si>
    <t>AG-Brutto/Monat ohne JSZ</t>
  </si>
  <si>
    <t xml:space="preserve">AG-Brutto/Monat  </t>
  </si>
  <si>
    <t>AG-Brutto/Jahr</t>
  </si>
  <si>
    <t>AN-Brutto inkl. JSZ/Jahr</t>
  </si>
  <si>
    <t>SV-AG-Anteil inkl. JSZ/Jahr</t>
  </si>
  <si>
    <t>Jahressonderzahlung [%]</t>
  </si>
  <si>
    <t>[%]</t>
  </si>
  <si>
    <t>€</t>
  </si>
  <si>
    <t>AN-Brutto inkl JSZ/Monat</t>
  </si>
  <si>
    <t>SV-AG-Anteil inkl. JSZ/Monat</t>
  </si>
  <si>
    <t>AN-Brutto inkl. JSZ/Stunde</t>
  </si>
  <si>
    <t>SV-AG-Anteil inkl. JSZ/Stunde</t>
  </si>
  <si>
    <t>Arbeitgeber-Brutto/Stunde</t>
  </si>
  <si>
    <t>ab 2021</t>
  </si>
  <si>
    <t xml:space="preserve">Ergebnis: </t>
  </si>
  <si>
    <t>entspricht Entgeldgruppe</t>
  </si>
  <si>
    <t>Monatssatz</t>
  </si>
  <si>
    <t>Leistungsgruppe</t>
  </si>
  <si>
    <t>Stundensatz</t>
  </si>
  <si>
    <t>Überprüfung Monatssatz</t>
  </si>
  <si>
    <t>Überprüfung Std.satz</t>
  </si>
  <si>
    <t>E11-E14</t>
  </si>
  <si>
    <t>E5-E10</t>
  </si>
  <si>
    <t>WHK</t>
  </si>
  <si>
    <t>Prof./PL</t>
  </si>
  <si>
    <t>EFRE</t>
  </si>
  <si>
    <t>Differenz Monat €</t>
  </si>
  <si>
    <t>Differenz Stunde €</t>
  </si>
  <si>
    <t>SHK/WHK</t>
  </si>
  <si>
    <t>* WHK können je nach Funktionsbeschreibung in LG 3 oder 4 eingeordnet werden</t>
  </si>
  <si>
    <t>Bitte Rücksprache mit dem Förderreferenten/Personalabteilung!</t>
  </si>
  <si>
    <t>Stunden pro Woche [h]</t>
  </si>
  <si>
    <t>Übersicht Kosten</t>
  </si>
  <si>
    <t>pro Stunde</t>
  </si>
  <si>
    <t>pro Woche</t>
  </si>
  <si>
    <t>pro Monat</t>
  </si>
  <si>
    <t>pro Jahr</t>
  </si>
  <si>
    <t>Arbeitsstunden [h]</t>
  </si>
  <si>
    <t>Stellenart</t>
  </si>
  <si>
    <t>Stundenloh (Brutto) [€]</t>
  </si>
  <si>
    <t>Arbeitgeberanteil [%]</t>
  </si>
  <si>
    <t>max. Wochenstunden [h]</t>
  </si>
  <si>
    <t>Wochen-Monats-Faktor</t>
  </si>
  <si>
    <t>Art</t>
  </si>
  <si>
    <t>Kürzel</t>
  </si>
  <si>
    <t>Grenze Sozialabgaben</t>
  </si>
  <si>
    <t>max. h / Woche</t>
  </si>
  <si>
    <t>Studentische Hilfskraft</t>
  </si>
  <si>
    <t>Wissenschaftliche Hilfskraft</t>
  </si>
  <si>
    <t>Arbeitnehmer-Brutto (AN-Brutto) [€]</t>
  </si>
  <si>
    <t>SV-AG-Anteil [%]</t>
  </si>
  <si>
    <t>SV-AG-Anteil [€]</t>
  </si>
  <si>
    <t>Lohn (inkl. Arbeitgeberanteil) [€]</t>
  </si>
  <si>
    <t>Zusatzinformation:</t>
  </si>
  <si>
    <t>Bitte nur die Angaben in blau unterlegten Felder ausfüllen bzw. auswählen!</t>
  </si>
  <si>
    <t>*</t>
  </si>
  <si>
    <t xml:space="preserve">*Bei Einsatz von WHK (LG 4) und SHK (LG 4) entsteht immer ein Überschuss, der abhängig von der Stundenzahl ist. Bitte den Überschuss separat berechnen. </t>
  </si>
  <si>
    <t xml:space="preserve">Maximal 19 Stunden pro Woche! </t>
  </si>
  <si>
    <t>Maximal 19 Stunden pro Woche!</t>
  </si>
  <si>
    <t>Förderprogramm AIF-IGF</t>
  </si>
  <si>
    <t>Förderprogramm EFRE</t>
  </si>
  <si>
    <t>Förderprogramm EU/H2020</t>
  </si>
  <si>
    <t xml:space="preserve">Für EFRE; ZIM; IGF; Interreg bitte gesonderte Tabellen verwenden! </t>
  </si>
  <si>
    <t>Die Löhne für SHK u. WHK sind festgelegt und werden bei Änderungen des Tarifs TVL nicht mit angepasst!</t>
  </si>
  <si>
    <t xml:space="preserve">Für ZIM; IGF; Interreg; EU, BMBF  bitte gesonderte Tabellen verwenden! </t>
  </si>
  <si>
    <t xml:space="preserve">Für EFRE; ZIM; Interreg; EU  bitte gesonderte Tabellen verwenden! </t>
  </si>
  <si>
    <t>Jahresarbeitsstunden</t>
  </si>
  <si>
    <t>Standard</t>
  </si>
  <si>
    <t>AIF-IGF</t>
  </si>
  <si>
    <t>EU H2020</t>
  </si>
  <si>
    <t>ZIM</t>
  </si>
  <si>
    <t>IGF-Brutto</t>
  </si>
  <si>
    <r>
      <rPr>
        <sz val="11"/>
        <color rgb="FFFF0000"/>
        <rFont val="Calibri"/>
        <family val="2"/>
        <scheme val="minor"/>
      </rPr>
      <t>Zusatzinfo</t>
    </r>
    <r>
      <rPr>
        <sz val="11"/>
        <color theme="1"/>
        <rFont val="Calibri"/>
        <family val="2"/>
        <scheme val="minor"/>
      </rPr>
      <t>: Das IGF-Brutto errechnet sich aus dem Arbeitnehmer-Brutto zuzüglich fixe, personengebundene Zuschläge (AG-Anteil SV-Beiträge, VBL, VL) =  Arbeitgeber-Brutto abzüglich: VBL-Steuer, Jahressonderzahlung, VBL-Sanierungsgeld</t>
    </r>
  </si>
  <si>
    <t>Fixe Gehaltsbestandteile</t>
  </si>
  <si>
    <t>Betrag</t>
  </si>
  <si>
    <t>Anz.pro Jahr</t>
  </si>
  <si>
    <t>VL</t>
  </si>
  <si>
    <t>AN-Brutto</t>
  </si>
  <si>
    <t>Jahresbruttogehalt</t>
  </si>
  <si>
    <t>nominelle Arbeitsstunden</t>
  </si>
  <si>
    <t>Regelmäßige wöchentliche Arbeitszeit</t>
  </si>
  <si>
    <t>Personengeb. Std. satz</t>
  </si>
  <si>
    <t>Förderprogramm AIF-ZIM</t>
  </si>
  <si>
    <t>*12=</t>
  </si>
  <si>
    <t>Personalkosten/Monat</t>
  </si>
  <si>
    <t>Daten für Anlage 6.1. des ZIM Antragsformulars</t>
  </si>
  <si>
    <t>Fix-Monatsbruttolohn/-gehalt zum Zeitpunkt der Antragsstellung</t>
  </si>
  <si>
    <t>Weitere fixe Gehaltsbestandteile</t>
  </si>
  <si>
    <t xml:space="preserve">Normierte Personalkosten für Vollzeitstelle </t>
  </si>
  <si>
    <t>Teilzeitfaktor</t>
  </si>
  <si>
    <t>100% = 1</t>
  </si>
  <si>
    <t xml:space="preserve">Für EFRE; IGF; Interreg; EU  bitte gesonderte Tabellen verwenden! </t>
  </si>
  <si>
    <t xml:space="preserve">Antragsrelevante Zahlen sind grün unterlegt! </t>
  </si>
  <si>
    <t>(errechnet sich automatisch im ZIM Formular)</t>
  </si>
  <si>
    <t>Gesamt/Jahr</t>
  </si>
  <si>
    <t>Jahressonderzahlung/Jahr  [%]</t>
  </si>
  <si>
    <t>Jahressonderzahlung/Monat</t>
  </si>
  <si>
    <t>TVL 13</t>
  </si>
  <si>
    <t>TVL 11-12</t>
  </si>
  <si>
    <t>TVL 5-10</t>
  </si>
  <si>
    <t>SHK</t>
  </si>
  <si>
    <t>Interreg</t>
  </si>
  <si>
    <t>entsprechende Entgeltgruppe</t>
  </si>
  <si>
    <t>Professoren</t>
  </si>
  <si>
    <t>E13</t>
  </si>
  <si>
    <t>E11-E12</t>
  </si>
  <si>
    <t>4*</t>
  </si>
  <si>
    <t>Förderprogramm Interreg</t>
  </si>
  <si>
    <t xml:space="preserve">Für EFRE; ZIM; IGF; EU  bitte gesonderte Tabellen verwenden! </t>
  </si>
  <si>
    <t>Tarifvorhersage ab 2022</t>
  </si>
  <si>
    <t xml:space="preserve">Angenommene Steigerung: 3% </t>
  </si>
  <si>
    <t xml:space="preserve">Voraussichtliche Entwicklung ab 2022 (+ 3 %) </t>
  </si>
  <si>
    <t xml:space="preserve">ab 2022 (geschätzt) </t>
  </si>
  <si>
    <t>ab 2022</t>
  </si>
  <si>
    <t>ab 2022 (geschätzt +3%)</t>
  </si>
  <si>
    <t xml:space="preserve">ab 2022  </t>
  </si>
  <si>
    <t>Leistungsgruppe (LG)</t>
  </si>
  <si>
    <r>
      <t xml:space="preserve">Ab 2022 (geschätzt +3%) </t>
    </r>
    <r>
      <rPr>
        <b/>
        <sz val="16"/>
        <color rgb="FFFF0000"/>
        <rFont val="Calibri"/>
        <family val="2"/>
        <scheme val="minor"/>
      </rPr>
      <t>*ACHTUNG</t>
    </r>
  </si>
  <si>
    <t xml:space="preserve">Für EFRE; ZIM; IGF; Interreg; EU, SHKs und WHKs  bitte gesonderte Tabellenblätter verwenden! </t>
  </si>
  <si>
    <r>
      <t>ab 2022 (geschätzt + 3%)</t>
    </r>
    <r>
      <rPr>
        <b/>
        <sz val="16"/>
        <color rgb="FFFF0000"/>
        <rFont val="Calibri"/>
        <family val="2"/>
        <scheme val="minor"/>
      </rPr>
      <t xml:space="preserve"> * Achtung!</t>
    </r>
  </si>
  <si>
    <r>
      <t xml:space="preserve">ab 2022 (geschätzt + 3%) </t>
    </r>
    <r>
      <rPr>
        <b/>
        <sz val="16"/>
        <color rgb="FFFF0000"/>
        <rFont val="Calibri"/>
        <family val="2"/>
        <scheme val="minor"/>
      </rPr>
      <t>*Achtung!</t>
    </r>
  </si>
  <si>
    <t>Gültig ab 01.03.2021</t>
  </si>
  <si>
    <t>ab 01.03.2021</t>
  </si>
  <si>
    <r>
      <t xml:space="preserve">ab 2022 </t>
    </r>
    <r>
      <rPr>
        <b/>
        <sz val="10"/>
        <color theme="1"/>
        <rFont val="Calibri"/>
        <family val="2"/>
        <scheme val="minor"/>
      </rPr>
      <t xml:space="preserve">(geschätzt + 3 %) </t>
    </r>
    <r>
      <rPr>
        <b/>
        <sz val="20"/>
        <color rgb="FFFF0000"/>
        <rFont val="Calibri"/>
        <family val="2"/>
        <scheme val="minor"/>
      </rPr>
      <t xml:space="preserve">* Achtung! </t>
    </r>
  </si>
  <si>
    <r>
      <t>ab 2022</t>
    </r>
    <r>
      <rPr>
        <b/>
        <sz val="10"/>
        <color theme="1"/>
        <rFont val="Calibri"/>
        <family val="2"/>
        <scheme val="minor"/>
      </rPr>
      <t xml:space="preserve"> (geschätzt + 3%) </t>
    </r>
    <r>
      <rPr>
        <b/>
        <sz val="20"/>
        <color rgb="FFFF0000"/>
        <rFont val="Calibri"/>
        <family val="2"/>
        <scheme val="minor"/>
      </rPr>
      <t>*Achtung!</t>
    </r>
    <r>
      <rPr>
        <b/>
        <sz val="10"/>
        <color rgb="FFFF0000"/>
        <rFont val="Calibri"/>
        <family val="2"/>
        <scheme val="minor"/>
      </rPr>
      <t xml:space="preserve"> </t>
    </r>
  </si>
  <si>
    <t>39,833 Stunden = 100 %</t>
  </si>
  <si>
    <t>KV-Umlagen U1, U2</t>
  </si>
  <si>
    <t>Nur Personalkosten, die in 2021 beantragt werden. Siehe auch Zusatzinfo rechts!</t>
  </si>
  <si>
    <t>KV Umlagen</t>
  </si>
  <si>
    <t>KV-Umlage, Insolvenzgeldumlage</t>
  </si>
  <si>
    <t>KV=Krankenversicherung</t>
  </si>
  <si>
    <t>Gesamt inkl. Zusatzbeiträge</t>
  </si>
  <si>
    <r>
      <rPr>
        <sz val="11"/>
        <color rgb="FFFF0000"/>
        <rFont val="Calibri"/>
        <family val="2"/>
        <scheme val="minor"/>
      </rPr>
      <t>Zusatzinfo</t>
    </r>
    <r>
      <rPr>
        <sz val="11"/>
        <color theme="1"/>
        <rFont val="Calibri"/>
        <family val="2"/>
        <scheme val="minor"/>
      </rPr>
      <t xml:space="preserve">: In ZIM ist nur das AN_Brutto und einige fixe Sonderzahlungen (Jahressonderzahlung, VL, VBL) förderfähig. Außerdem sind nur die produktiven Jahresarbeitsstunden förderfähig (= 10,5 PM = Personenmonate). Alle übrigen Kosten (restliche 1,5 PM und gesamte übrige Personalausgaben wie AG-SV-Anteil sind aus dem Zuschlag für übrige Kosten zu begleichen. Kalkulieren Sie Ihre Projektausgaben daher bitte so, dass dieser Zuschlag für übrige Kosten möglichst optimiert wird (max. 85% der kalkulierten Personaleinzelkosten). Bei den Personalkosten gilt für NN-Personal der Tarif und die Eingruppierung zum Zeitpunkt des ersten Einsatzes der Person im Projekt. Bei bekannten/bereits an der HN arbeitenden Personen wird mit dem Gehalt zur Zeit der Antragstellung kalkuliert! </t>
    </r>
  </si>
  <si>
    <t>Version 27</t>
  </si>
  <si>
    <r>
      <t xml:space="preserve">Ab 2023 (geschätzt +3%) </t>
    </r>
    <r>
      <rPr>
        <b/>
        <sz val="16"/>
        <color rgb="FFFF0000"/>
        <rFont val="Calibri"/>
        <family val="2"/>
        <scheme val="minor"/>
      </rPr>
      <t>*ACHTUNG</t>
    </r>
  </si>
  <si>
    <r>
      <t xml:space="preserve">Ab 2024 (geschätzt +3%) </t>
    </r>
    <r>
      <rPr>
        <b/>
        <sz val="16"/>
        <color rgb="FFFF0000"/>
        <rFont val="Calibri"/>
        <family val="2"/>
        <scheme val="minor"/>
      </rPr>
      <t>*ACHTUNG</t>
    </r>
  </si>
  <si>
    <r>
      <rPr>
        <sz val="11"/>
        <color rgb="FFFF0000"/>
        <rFont val="Calibri"/>
        <family val="2"/>
        <scheme val="minor"/>
      </rPr>
      <t>* Für Förderanträge mit Laufzeiten in/ab 2022 kann mit einer geschätzten Tarifsteigerung von 3 % kalkuliert werden. Noch nicht festgelegte Tarifsteigerungen dürfen in einigen Programmen allerdings nicht beantragt werden (z.B. BMBF). Die Kalkulation dient dann vorrangig der internen Kostenkalkulation. Bitte fragen Sie die Förderreferenten nach den individuellen Bedingungen für Förderprogramme.</t>
    </r>
    <r>
      <rPr>
        <sz val="11"/>
        <color theme="1"/>
        <rFont val="Calibri"/>
        <family val="2"/>
        <scheme val="minor"/>
      </rPr>
      <t xml:space="preserve"> </t>
    </r>
  </si>
  <si>
    <t xml:space="preserve">Voraussichtliche Entwicklung ab 2023 (+ 3 %) </t>
  </si>
  <si>
    <t xml:space="preserve">Voraussichtliche Entwicklung ab 2024 (+ 3 %) </t>
  </si>
  <si>
    <r>
      <t>ab 2023 (geschätzt + 3%)</t>
    </r>
    <r>
      <rPr>
        <b/>
        <sz val="16"/>
        <color rgb="FFFF0000"/>
        <rFont val="Calibri"/>
        <family val="2"/>
        <scheme val="minor"/>
      </rPr>
      <t xml:space="preserve"> * Achtung!</t>
    </r>
  </si>
  <si>
    <r>
      <t>ab 2024 (geschätzt + 3%)</t>
    </r>
    <r>
      <rPr>
        <b/>
        <sz val="16"/>
        <color rgb="FFFF0000"/>
        <rFont val="Calibri"/>
        <family val="2"/>
        <scheme val="minor"/>
      </rPr>
      <t xml:space="preserve"> * Achtung!</t>
    </r>
  </si>
  <si>
    <t xml:space="preserve">* Für Förderanträge mit Laufzeiten in/ab 2022 kann mit einer geschätzten Tarifsteigerung von 3 % kalkuliert werden. Noch nicht festgelegte Tarifsteigerungen dürfen in einigen Programmen allerdings nicht beantragt werden (z.B. BMBF). Die Kalkulation dient dann vorrangig der internen Kostenkalkulation. Bitte fragen Sie die Förderreferenten nach den individuellen Bedingungen für Förderprogramme. </t>
  </si>
  <si>
    <r>
      <t xml:space="preserve">ab 2023 </t>
    </r>
    <r>
      <rPr>
        <b/>
        <sz val="10"/>
        <color theme="1"/>
        <rFont val="Calibri"/>
        <family val="2"/>
        <scheme val="minor"/>
      </rPr>
      <t xml:space="preserve">(geschätzt + 3 %) </t>
    </r>
    <r>
      <rPr>
        <b/>
        <sz val="20"/>
        <color rgb="FFFF0000"/>
        <rFont val="Calibri"/>
        <family val="2"/>
        <scheme val="minor"/>
      </rPr>
      <t xml:space="preserve">* Achtung! </t>
    </r>
  </si>
  <si>
    <r>
      <t xml:space="preserve">ab 2024 </t>
    </r>
    <r>
      <rPr>
        <b/>
        <sz val="10"/>
        <color theme="1"/>
        <rFont val="Calibri"/>
        <family val="2"/>
        <scheme val="minor"/>
      </rPr>
      <t xml:space="preserve">(geschätzt + 3 %) </t>
    </r>
    <r>
      <rPr>
        <b/>
        <sz val="20"/>
        <color rgb="FFFF0000"/>
        <rFont val="Calibri"/>
        <family val="2"/>
        <scheme val="minor"/>
      </rPr>
      <t xml:space="preserve">* Achtung! </t>
    </r>
  </si>
  <si>
    <r>
      <t xml:space="preserve">ab 2023 (geschätzt + 3%) </t>
    </r>
    <r>
      <rPr>
        <b/>
        <sz val="16"/>
        <color rgb="FFFF0000"/>
        <rFont val="Calibri"/>
        <family val="2"/>
        <scheme val="minor"/>
      </rPr>
      <t>*Achtung!</t>
    </r>
  </si>
  <si>
    <r>
      <t xml:space="preserve">ab 2024 (geschätzt + 3%) </t>
    </r>
    <r>
      <rPr>
        <b/>
        <sz val="16"/>
        <color rgb="FFFF0000"/>
        <rFont val="Calibri"/>
        <family val="2"/>
        <scheme val="minor"/>
      </rPr>
      <t>*Achtung!</t>
    </r>
  </si>
  <si>
    <t>ab 2024</t>
  </si>
  <si>
    <t>ab 2023</t>
  </si>
  <si>
    <r>
      <t>ab 2023</t>
    </r>
    <r>
      <rPr>
        <b/>
        <sz val="10"/>
        <color theme="1"/>
        <rFont val="Calibri"/>
        <family val="2"/>
        <scheme val="minor"/>
      </rPr>
      <t xml:space="preserve"> (geschätzt + 3%) </t>
    </r>
    <r>
      <rPr>
        <b/>
        <sz val="20"/>
        <color rgb="FFFF0000"/>
        <rFont val="Calibri"/>
        <family val="2"/>
        <scheme val="minor"/>
      </rPr>
      <t>*Achtung!</t>
    </r>
    <r>
      <rPr>
        <b/>
        <sz val="10"/>
        <color rgb="FFFF0000"/>
        <rFont val="Calibri"/>
        <family val="2"/>
        <scheme val="minor"/>
      </rPr>
      <t xml:space="preserve"> </t>
    </r>
  </si>
  <si>
    <r>
      <t>ab 2024</t>
    </r>
    <r>
      <rPr>
        <b/>
        <sz val="10"/>
        <color theme="1"/>
        <rFont val="Calibri"/>
        <family val="2"/>
        <scheme val="minor"/>
      </rPr>
      <t xml:space="preserve"> (geschätzt + 3%) </t>
    </r>
    <r>
      <rPr>
        <b/>
        <sz val="20"/>
        <color rgb="FFFF0000"/>
        <rFont val="Calibri"/>
        <family val="2"/>
        <scheme val="minor"/>
      </rPr>
      <t>*Achtung!</t>
    </r>
    <r>
      <rPr>
        <b/>
        <sz val="10"/>
        <color rgb="FFFF0000"/>
        <rFont val="Calibri"/>
        <family val="2"/>
        <scheme val="minor"/>
      </rPr>
      <t xml:space="preserve"> </t>
    </r>
  </si>
  <si>
    <t>ab 2023 (geschätzt +3%)</t>
  </si>
  <si>
    <t>ab 2024 (geschätzt +3%)</t>
  </si>
  <si>
    <t>Bei WHK/SHK angebene Wochenstunden im Tab "SHK u. WHK" beachten</t>
  </si>
  <si>
    <t>s.u. (OK)</t>
  </si>
  <si>
    <t>Bei WHK/SHK anzugebende Wochenstunden im Tab "SHK u. WHK" beachten</t>
  </si>
  <si>
    <t>Grundbeitrag + Durchschnittszusatzbeitrag: (14,6+1,2)/2</t>
  </si>
  <si>
    <t>Tarifvorhersage ab 2023</t>
  </si>
  <si>
    <t>Tarifvorhersage ab 2024</t>
  </si>
  <si>
    <t>4,88-9,14 €</t>
  </si>
  <si>
    <t>U1=2,2%, U2=0,55%</t>
  </si>
  <si>
    <t>Stand 22.01.2021</t>
  </si>
  <si>
    <t>Studentische und wissenschaftliche Hilfskräfte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</si>
</sst>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 &quot;€&quot;"/>
    <numFmt numFmtId="165" formatCode="0.000%"/>
    <numFmt numFmtId="166" formatCode="#,##0.00\ _€"/>
    <numFmt numFmtId="167" formatCode="0.0"/>
    <numFmt numFmtId="168" formatCode="0.00000"/>
  </numFmts>
  <fonts count="19"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b/>
      <sz val="16"/>
      <color theme="1"/>
      <name val="Calibri"/>
      <family val="2"/>
      <scheme val="minor"/>
    </font>
    <font>
      <sz val="11"/>
      <name val="Calibri"/>
      <family val="2"/>
      <scheme val="minor"/>
    </font>
    <font>
      <sz val="11"/>
      <color rgb="FFFF0000"/>
      <name val="Calibri"/>
      <family val="2"/>
      <scheme val="minor"/>
    </font>
    <font>
      <b/>
      <i/>
      <sz val="11"/>
      <color theme="1"/>
      <name val="Calibri"/>
      <family val="2"/>
      <scheme val="minor"/>
    </font>
    <font>
      <b/>
      <sz val="11"/>
      <color rgb="FFFF0000"/>
      <name val="Calibri"/>
      <family val="2"/>
      <scheme val="minor"/>
    </font>
    <font>
      <b/>
      <sz val="18"/>
      <color theme="1"/>
      <name val="Calibri"/>
      <family val="2"/>
      <scheme val="minor"/>
    </font>
    <font>
      <sz val="11"/>
      <color theme="1"/>
      <name val="Calibri"/>
      <family val="2"/>
      <scheme val="minor"/>
    </font>
    <font>
      <b/>
      <sz val="12"/>
      <color theme="1"/>
      <name val="Calibri"/>
      <family val="2"/>
      <scheme val="minor"/>
    </font>
    <font>
      <b/>
      <sz val="16"/>
      <color rgb="FFFF0000"/>
      <name val="Calibri"/>
      <family val="2"/>
      <scheme val="minor"/>
    </font>
    <font>
      <b/>
      <sz val="10"/>
      <color theme="1"/>
      <name val="Calibri"/>
      <family val="2"/>
      <scheme val="minor"/>
    </font>
    <font>
      <b/>
      <sz val="10"/>
      <color rgb="FFFF0000"/>
      <name val="Calibri"/>
      <family val="2"/>
      <scheme val="minor"/>
    </font>
    <font>
      <b/>
      <sz val="20"/>
      <color rgb="FFFF0000"/>
      <name val="Calibri"/>
      <family val="2"/>
      <scheme val="minor"/>
    </font>
    <font>
      <b/>
      <sz val="22"/>
      <color rgb="FFFF0000"/>
      <name val="Calibri"/>
      <family val="2"/>
      <scheme val="minor"/>
    </font>
    <font>
      <b/>
      <sz val="24"/>
      <color rgb="FFFF0000"/>
      <name val="Calibri"/>
      <family val="2"/>
      <scheme val="minor"/>
    </font>
    <font>
      <b/>
      <sz val="12"/>
      <color rgb="FFFF0000"/>
      <name val="Calibri"/>
      <family val="2"/>
      <scheme val="minor"/>
    </font>
  </fonts>
  <fills count="16">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669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376">
    <xf numFmtId="0" fontId="0" fillId="0" borderId="0" xfId="0"/>
    <xf numFmtId="0" fontId="1" fillId="0" borderId="0" xfId="0" applyFont="1"/>
    <xf numFmtId="0" fontId="0" fillId="0" borderId="0" xfId="0" applyFill="1"/>
    <xf numFmtId="0" fontId="4" fillId="0" borderId="0" xfId="0" applyFont="1"/>
    <xf numFmtId="0" fontId="0" fillId="2" borderId="1" xfId="0" applyFill="1" applyBorder="1"/>
    <xf numFmtId="0" fontId="1" fillId="2" borderId="1" xfId="0" applyNumberFormat="1" applyFont="1" applyFill="1" applyBorder="1" applyAlignment="1">
      <alignment wrapText="1"/>
    </xf>
    <xf numFmtId="0" fontId="1" fillId="2" borderId="1" xfId="0" applyFont="1" applyFill="1" applyBorder="1"/>
    <xf numFmtId="0" fontId="2" fillId="2" borderId="1" xfId="0" applyFont="1" applyFill="1" applyBorder="1" applyAlignment="1">
      <alignment wrapText="1"/>
    </xf>
    <xf numFmtId="0" fontId="3" fillId="2" borderId="1" xfId="0" applyFont="1" applyFill="1" applyBorder="1" applyAlignment="1">
      <alignment wrapText="1"/>
    </xf>
    <xf numFmtId="164" fontId="0" fillId="2" borderId="1" xfId="0" applyNumberFormat="1" applyFill="1" applyBorder="1"/>
    <xf numFmtId="0" fontId="0" fillId="3" borderId="1" xfId="0" applyFill="1" applyBorder="1"/>
    <xf numFmtId="0" fontId="1" fillId="3" borderId="1" xfId="0" applyNumberFormat="1" applyFont="1" applyFill="1" applyBorder="1" applyAlignment="1">
      <alignment wrapText="1"/>
    </xf>
    <xf numFmtId="0" fontId="1" fillId="3" borderId="1" xfId="0" applyFont="1" applyFill="1" applyBorder="1"/>
    <xf numFmtId="0" fontId="2" fillId="3" borderId="1" xfId="0" applyFont="1" applyFill="1" applyBorder="1" applyAlignment="1">
      <alignment wrapText="1"/>
    </xf>
    <xf numFmtId="0" fontId="3" fillId="3" borderId="1" xfId="0" applyFont="1" applyFill="1" applyBorder="1" applyAlignment="1">
      <alignment wrapText="1"/>
    </xf>
    <xf numFmtId="164" fontId="0" fillId="3" borderId="1" xfId="0" applyNumberFormat="1" applyFill="1" applyBorder="1"/>
    <xf numFmtId="0" fontId="0" fillId="4" borderId="1" xfId="0" applyFill="1" applyBorder="1"/>
    <xf numFmtId="0" fontId="0" fillId="0" borderId="0" xfId="0" applyFill="1" applyBorder="1"/>
    <xf numFmtId="9" fontId="5" fillId="5" borderId="2" xfId="0" applyNumberFormat="1" applyFont="1" applyFill="1" applyBorder="1"/>
    <xf numFmtId="0" fontId="0" fillId="0" borderId="4" xfId="0" applyBorder="1"/>
    <xf numFmtId="0" fontId="0" fillId="0" borderId="0" xfId="0" applyBorder="1"/>
    <xf numFmtId="0" fontId="0" fillId="6" borderId="5" xfId="0" applyFill="1" applyBorder="1"/>
    <xf numFmtId="0" fontId="4" fillId="6" borderId="3" xfId="0" applyFont="1" applyFill="1" applyBorder="1"/>
    <xf numFmtId="0" fontId="0" fillId="6" borderId="3" xfId="0" applyFill="1" applyBorder="1"/>
    <xf numFmtId="0" fontId="0" fillId="6" borderId="11" xfId="0" applyFill="1" applyBorder="1"/>
    <xf numFmtId="0" fontId="0" fillId="0" borderId="6" xfId="0" applyBorder="1"/>
    <xf numFmtId="0" fontId="0" fillId="0" borderId="8" xfId="0" applyBorder="1"/>
    <xf numFmtId="0" fontId="0" fillId="0" borderId="16" xfId="0" applyBorder="1"/>
    <xf numFmtId="0" fontId="1" fillId="0" borderId="17" xfId="0" applyFont="1" applyBorder="1" applyAlignment="1">
      <alignment horizontal="center"/>
    </xf>
    <xf numFmtId="0" fontId="0" fillId="0" borderId="17" xfId="0" applyBorder="1"/>
    <xf numFmtId="164" fontId="0" fillId="0" borderId="17" xfId="0" applyNumberFormat="1" applyFont="1" applyBorder="1"/>
    <xf numFmtId="164" fontId="0" fillId="0" borderId="7" xfId="0" applyNumberFormat="1" applyBorder="1"/>
    <xf numFmtId="0" fontId="1" fillId="0" borderId="16" xfId="0" applyFont="1" applyBorder="1" applyAlignment="1">
      <alignment horizontal="center"/>
    </xf>
    <xf numFmtId="0" fontId="0" fillId="0" borderId="1" xfId="0" applyBorder="1"/>
    <xf numFmtId="164" fontId="0" fillId="0" borderId="1" xfId="0" applyNumberFormat="1" applyBorder="1"/>
    <xf numFmtId="0" fontId="1" fillId="0" borderId="1" xfId="0" applyFont="1" applyBorder="1"/>
    <xf numFmtId="10" fontId="0" fillId="0" borderId="1" xfId="0" applyNumberFormat="1" applyBorder="1"/>
    <xf numFmtId="0" fontId="0" fillId="0" borderId="1" xfId="0" applyFill="1" applyBorder="1"/>
    <xf numFmtId="0" fontId="1" fillId="0" borderId="1" xfId="0" applyFont="1" applyFill="1" applyBorder="1"/>
    <xf numFmtId="164" fontId="1" fillId="0" borderId="1" xfId="0" applyNumberFormat="1" applyFont="1" applyBorder="1"/>
    <xf numFmtId="0" fontId="0" fillId="0" borderId="18" xfId="0" applyBorder="1"/>
    <xf numFmtId="0" fontId="0" fillId="0" borderId="10" xfId="0" applyBorder="1"/>
    <xf numFmtId="2" fontId="0" fillId="0" borderId="10" xfId="0" applyNumberFormat="1" applyBorder="1"/>
    <xf numFmtId="164" fontId="0" fillId="0" borderId="10" xfId="0" applyNumberFormat="1" applyBorder="1"/>
    <xf numFmtId="0" fontId="0" fillId="0" borderId="4" xfId="0" applyFont="1" applyBorder="1"/>
    <xf numFmtId="0" fontId="0" fillId="0" borderId="0" xfId="0" applyFont="1" applyBorder="1"/>
    <xf numFmtId="0" fontId="0" fillId="0" borderId="17" xfId="0" applyFont="1" applyBorder="1"/>
    <xf numFmtId="0" fontId="1" fillId="0" borderId="7" xfId="0" applyFont="1" applyBorder="1" applyAlignment="1">
      <alignment horizontal="center"/>
    </xf>
    <xf numFmtId="0" fontId="1" fillId="5" borderId="2" xfId="0" applyFont="1" applyFill="1" applyBorder="1"/>
    <xf numFmtId="165" fontId="0" fillId="3" borderId="1" xfId="0" applyNumberFormat="1" applyFill="1" applyBorder="1"/>
    <xf numFmtId="164" fontId="0" fillId="4" borderId="1" xfId="0" applyNumberFormat="1" applyFont="1" applyFill="1" applyBorder="1"/>
    <xf numFmtId="164" fontId="1" fillId="8" borderId="12" xfId="0" applyNumberFormat="1" applyFont="1" applyFill="1" applyBorder="1"/>
    <xf numFmtId="164" fontId="1" fillId="8" borderId="7" xfId="0" applyNumberFormat="1" applyFont="1" applyFill="1" applyBorder="1"/>
    <xf numFmtId="0" fontId="1" fillId="0" borderId="0" xfId="0" applyFont="1" applyFill="1" applyBorder="1" applyAlignment="1"/>
    <xf numFmtId="0" fontId="0" fillId="0" borderId="0" xfId="0" applyFill="1" applyBorder="1" applyAlignment="1"/>
    <xf numFmtId="164" fontId="1" fillId="0" borderId="0" xfId="0" applyNumberFormat="1" applyFont="1" applyFill="1" applyBorder="1"/>
    <xf numFmtId="0" fontId="4" fillId="0" borderId="0" xfId="0" applyFont="1" applyFill="1"/>
    <xf numFmtId="0" fontId="0" fillId="9" borderId="1" xfId="0" applyNumberFormat="1" applyFont="1" applyFill="1" applyBorder="1" applyAlignment="1"/>
    <xf numFmtId="0" fontId="0" fillId="9" borderId="1" xfId="0" applyNumberFormat="1" applyFont="1" applyFill="1" applyBorder="1" applyAlignment="1">
      <alignment horizontal="center"/>
    </xf>
    <xf numFmtId="0" fontId="0" fillId="9" borderId="1" xfId="0" applyNumberFormat="1" applyFont="1" applyFill="1" applyBorder="1"/>
    <xf numFmtId="166" fontId="0" fillId="9" borderId="1" xfId="0" applyNumberFormat="1" applyFill="1" applyBorder="1" applyAlignment="1"/>
    <xf numFmtId="166" fontId="0" fillId="9" borderId="1" xfId="0" applyNumberFormat="1" applyFont="1" applyFill="1" applyBorder="1"/>
    <xf numFmtId="166" fontId="0" fillId="9" borderId="1" xfId="0" applyNumberFormat="1" applyFill="1" applyBorder="1"/>
    <xf numFmtId="0" fontId="4" fillId="0" borderId="4" xfId="0" applyFont="1" applyFill="1" applyBorder="1" applyAlignment="1"/>
    <xf numFmtId="0" fontId="0" fillId="0" borderId="19" xfId="0" applyNumberFormat="1" applyFont="1" applyFill="1" applyBorder="1" applyAlignment="1">
      <alignment horizontal="center"/>
    </xf>
    <xf numFmtId="166" fontId="0" fillId="0" borderId="19" xfId="0" applyNumberFormat="1" applyFill="1" applyBorder="1"/>
    <xf numFmtId="0" fontId="6" fillId="0" borderId="19" xfId="0" applyFont="1" applyFill="1" applyBorder="1" applyAlignment="1"/>
    <xf numFmtId="0" fontId="6" fillId="0" borderId="19" xfId="0" applyFont="1" applyFill="1" applyBorder="1"/>
    <xf numFmtId="0" fontId="1" fillId="0" borderId="27" xfId="0" applyFont="1" applyBorder="1"/>
    <xf numFmtId="0" fontId="1" fillId="0" borderId="28" xfId="0" applyFont="1" applyBorder="1" applyAlignment="1">
      <alignment horizontal="center" wrapText="1"/>
    </xf>
    <xf numFmtId="0" fontId="1" fillId="0" borderId="29" xfId="0" applyFont="1" applyBorder="1" applyAlignment="1">
      <alignment horizontal="center" wrapText="1"/>
    </xf>
    <xf numFmtId="0" fontId="1" fillId="0" borderId="30" xfId="0" applyFont="1" applyBorder="1"/>
    <xf numFmtId="0" fontId="1" fillId="0" borderId="31" xfId="0" applyFont="1" applyBorder="1"/>
    <xf numFmtId="10" fontId="0" fillId="0" borderId="10" xfId="0" applyNumberFormat="1" applyBorder="1"/>
    <xf numFmtId="10" fontId="0" fillId="0" borderId="32" xfId="0" applyNumberFormat="1" applyBorder="1"/>
    <xf numFmtId="0" fontId="0" fillId="0" borderId="29" xfId="0" applyBorder="1" applyAlignment="1">
      <alignment horizontal="right"/>
    </xf>
    <xf numFmtId="0" fontId="0" fillId="0" borderId="32" xfId="0" applyBorder="1" applyAlignment="1">
      <alignment horizontal="right"/>
    </xf>
    <xf numFmtId="0" fontId="1" fillId="0" borderId="0" xfId="0" applyFont="1" applyBorder="1"/>
    <xf numFmtId="0" fontId="0" fillId="0" borderId="0" xfId="0" applyBorder="1" applyAlignment="1">
      <alignment horizontal="right"/>
    </xf>
    <xf numFmtId="0" fontId="1" fillId="0" borderId="27" xfId="0" applyFont="1" applyBorder="1" applyAlignment="1">
      <alignment wrapText="1"/>
    </xf>
    <xf numFmtId="0" fontId="0" fillId="0" borderId="1" xfId="0" applyBorder="1" applyAlignment="1">
      <alignment horizontal="center"/>
    </xf>
    <xf numFmtId="0" fontId="0" fillId="0" borderId="33" xfId="0" applyBorder="1"/>
    <xf numFmtId="0" fontId="0" fillId="0" borderId="10" xfId="0" applyBorder="1" applyAlignment="1">
      <alignment horizontal="center"/>
    </xf>
    <xf numFmtId="0" fontId="0" fillId="0" borderId="32" xfId="0" applyBorder="1"/>
    <xf numFmtId="0" fontId="0" fillId="0" borderId="0" xfId="0" applyBorder="1" applyAlignment="1">
      <alignment horizontal="center"/>
    </xf>
    <xf numFmtId="0" fontId="0" fillId="0" borderId="19" xfId="0" applyFont="1" applyBorder="1"/>
    <xf numFmtId="0" fontId="0" fillId="0" borderId="34" xfId="0" applyFont="1" applyBorder="1"/>
    <xf numFmtId="0" fontId="0" fillId="0" borderId="31" xfId="0" applyFont="1" applyBorder="1"/>
    <xf numFmtId="0" fontId="0" fillId="10" borderId="2" xfId="0" applyFill="1" applyBorder="1" applyAlignment="1">
      <alignment horizontal="center"/>
    </xf>
    <xf numFmtId="2" fontId="0" fillId="0" borderId="1" xfId="0" applyNumberFormat="1" applyBorder="1"/>
    <xf numFmtId="167" fontId="0" fillId="0" borderId="1" xfId="0" applyNumberFormat="1" applyBorder="1"/>
    <xf numFmtId="4" fontId="0" fillId="0" borderId="10" xfId="0" applyNumberFormat="1" applyBorder="1"/>
    <xf numFmtId="0" fontId="0" fillId="0" borderId="37" xfId="0" applyBorder="1"/>
    <xf numFmtId="2" fontId="0" fillId="0" borderId="37" xfId="0" applyNumberFormat="1" applyBorder="1"/>
    <xf numFmtId="0" fontId="6" fillId="0" borderId="2" xfId="0" applyFont="1" applyBorder="1" applyAlignment="1">
      <alignment wrapText="1"/>
    </xf>
    <xf numFmtId="0" fontId="7" fillId="8" borderId="35" xfId="0" applyFont="1" applyFill="1" applyBorder="1"/>
    <xf numFmtId="164" fontId="1" fillId="8" borderId="36" xfId="0" applyNumberFormat="1" applyFont="1" applyFill="1" applyBorder="1"/>
    <xf numFmtId="0" fontId="1" fillId="8" borderId="35" xfId="0" applyFont="1" applyFill="1" applyBorder="1"/>
    <xf numFmtId="10" fontId="0" fillId="0" borderId="0" xfId="0" applyNumberFormat="1" applyFill="1"/>
    <xf numFmtId="166" fontId="0" fillId="0" borderId="19" xfId="0" applyNumberFormat="1" applyFont="1" applyFill="1" applyBorder="1"/>
    <xf numFmtId="166" fontId="0" fillId="9" borderId="1" xfId="0" applyNumberFormat="1" applyFont="1" applyFill="1" applyBorder="1" applyAlignment="1"/>
    <xf numFmtId="164" fontId="0" fillId="0" borderId="19" xfId="0" applyNumberFormat="1" applyFont="1" applyFill="1" applyBorder="1" applyAlignment="1"/>
    <xf numFmtId="164" fontId="0" fillId="9" borderId="1" xfId="0" applyNumberFormat="1" applyFont="1" applyFill="1" applyBorder="1" applyAlignment="1"/>
    <xf numFmtId="0" fontId="0" fillId="9" borderId="1" xfId="0" applyFont="1" applyFill="1" applyBorder="1"/>
    <xf numFmtId="0" fontId="0" fillId="0" borderId="19" xfId="0" applyFont="1" applyFill="1" applyBorder="1"/>
    <xf numFmtId="164" fontId="0" fillId="9" borderId="1" xfId="0" applyNumberFormat="1" applyFont="1" applyFill="1" applyBorder="1"/>
    <xf numFmtId="0" fontId="9" fillId="0" borderId="0" xfId="0" applyFont="1"/>
    <xf numFmtId="0" fontId="1" fillId="0" borderId="0" xfId="0" applyFont="1" applyBorder="1" applyAlignment="1"/>
    <xf numFmtId="0" fontId="1" fillId="0" borderId="1" xfId="0" applyFont="1" applyFill="1" applyBorder="1" applyAlignment="1"/>
    <xf numFmtId="0" fontId="0" fillId="0" borderId="0" xfId="0" applyFont="1" applyAlignment="1">
      <alignment horizontal="left"/>
    </xf>
    <xf numFmtId="0" fontId="4" fillId="0" borderId="0" xfId="0" applyFont="1" applyFill="1" applyBorder="1" applyAlignment="1">
      <alignment horizontal="center" wrapText="1"/>
    </xf>
    <xf numFmtId="0" fontId="0" fillId="0" borderId="1" xfId="0" applyFont="1" applyFill="1" applyBorder="1" applyAlignment="1">
      <alignment horizontal="left" wrapText="1"/>
    </xf>
    <xf numFmtId="0" fontId="0" fillId="0" borderId="1" xfId="0" applyFont="1" applyBorder="1" applyAlignment="1">
      <alignment horizontal="left"/>
    </xf>
    <xf numFmtId="1" fontId="0" fillId="0" borderId="1" xfId="0" applyNumberFormat="1" applyFill="1" applyBorder="1"/>
    <xf numFmtId="164" fontId="1" fillId="0" borderId="12" xfId="0" applyNumberFormat="1" applyFont="1" applyFill="1" applyBorder="1"/>
    <xf numFmtId="164" fontId="1" fillId="0" borderId="7" xfId="0" applyNumberFormat="1" applyFont="1" applyFill="1" applyBorder="1"/>
    <xf numFmtId="164" fontId="0" fillId="11" borderId="1" xfId="0" applyNumberFormat="1" applyFill="1" applyBorder="1"/>
    <xf numFmtId="0" fontId="0" fillId="0" borderId="0" xfId="0" applyBorder="1" applyAlignment="1"/>
    <xf numFmtId="164" fontId="0" fillId="0" borderId="0" xfId="0" applyNumberFormat="1" applyFill="1" applyBorder="1"/>
    <xf numFmtId="164" fontId="0" fillId="0" borderId="1" xfId="0" applyNumberFormat="1" applyFill="1" applyBorder="1"/>
    <xf numFmtId="164" fontId="0" fillId="0" borderId="1" xfId="0" applyNumberFormat="1" applyFont="1" applyFill="1" applyBorder="1"/>
    <xf numFmtId="10" fontId="0" fillId="0" borderId="1" xfId="0" applyNumberFormat="1" applyFill="1" applyBorder="1"/>
    <xf numFmtId="164" fontId="0" fillId="0" borderId="0" xfId="0" applyNumberFormat="1" applyFill="1" applyBorder="1" applyAlignment="1"/>
    <xf numFmtId="2" fontId="0" fillId="0" borderId="0" xfId="0" applyNumberFormat="1" applyFill="1"/>
    <xf numFmtId="164" fontId="0" fillId="0" borderId="0" xfId="0" applyNumberFormat="1" applyFill="1"/>
    <xf numFmtId="0" fontId="0" fillId="0" borderId="1" xfId="0" applyFill="1" applyBorder="1" applyAlignment="1"/>
    <xf numFmtId="0" fontId="0" fillId="0" borderId="1" xfId="0" applyFont="1" applyFill="1" applyBorder="1" applyAlignment="1"/>
    <xf numFmtId="164" fontId="1" fillId="0" borderId="1" xfId="0" applyNumberFormat="1" applyFont="1" applyFill="1" applyBorder="1"/>
    <xf numFmtId="0" fontId="1" fillId="4" borderId="1" xfId="0" applyFont="1" applyFill="1" applyBorder="1" applyAlignment="1"/>
    <xf numFmtId="0" fontId="0" fillId="4" borderId="1" xfId="0" applyFill="1" applyBorder="1" applyAlignment="1"/>
    <xf numFmtId="49" fontId="0" fillId="0" borderId="1" xfId="0" applyNumberFormat="1" applyFont="1" applyBorder="1" applyAlignment="1">
      <alignment horizontal="left" wrapText="1"/>
    </xf>
    <xf numFmtId="3" fontId="0" fillId="0" borderId="1" xfId="0" applyNumberFormat="1" applyFill="1" applyBorder="1"/>
    <xf numFmtId="3" fontId="0" fillId="4" borderId="1" xfId="0" applyNumberFormat="1" applyFill="1" applyBorder="1"/>
    <xf numFmtId="3" fontId="1" fillId="0" borderId="1" xfId="0" applyNumberFormat="1" applyFont="1" applyFill="1" applyBorder="1"/>
    <xf numFmtId="44" fontId="0" fillId="0" borderId="0" xfId="1" applyFont="1" applyFill="1" applyBorder="1" applyAlignment="1"/>
    <xf numFmtId="0" fontId="1" fillId="0" borderId="0" xfId="0" applyFont="1" applyFill="1" applyBorder="1" applyAlignment="1">
      <alignment wrapText="1"/>
    </xf>
    <xf numFmtId="164" fontId="0" fillId="0" borderId="0" xfId="0" applyNumberFormat="1"/>
    <xf numFmtId="164" fontId="0" fillId="0" borderId="0" xfId="0" applyNumberFormat="1" applyFont="1" applyFill="1" applyBorder="1"/>
    <xf numFmtId="0" fontId="1" fillId="0" borderId="0" xfId="0" applyFont="1" applyFill="1" applyBorder="1" applyAlignment="1"/>
    <xf numFmtId="0" fontId="0" fillId="0" borderId="0" xfId="0" applyFill="1" applyBorder="1" applyAlignment="1"/>
    <xf numFmtId="10" fontId="0" fillId="0" borderId="0" xfId="0" applyNumberFormat="1" applyFill="1" applyBorder="1"/>
    <xf numFmtId="0" fontId="1" fillId="0" borderId="0" xfId="0" applyFont="1" applyFill="1" applyBorder="1"/>
    <xf numFmtId="0" fontId="1" fillId="0" borderId="0" xfId="0" applyFont="1" applyFill="1" applyBorder="1" applyAlignment="1">
      <alignment horizontal="center"/>
    </xf>
    <xf numFmtId="0" fontId="0" fillId="0" borderId="0" xfId="0" applyFont="1" applyFill="1" applyBorder="1"/>
    <xf numFmtId="2" fontId="0" fillId="0" borderId="0" xfId="0" applyNumberFormat="1" applyFill="1" applyBorder="1"/>
    <xf numFmtId="0" fontId="0" fillId="0" borderId="0" xfId="0" applyFont="1" applyFill="1" applyBorder="1" applyAlignment="1"/>
    <xf numFmtId="3" fontId="0" fillId="0" borderId="0" xfId="0" applyNumberFormat="1" applyFill="1" applyBorder="1"/>
    <xf numFmtId="2" fontId="0" fillId="0" borderId="0" xfId="0" applyNumberFormat="1"/>
    <xf numFmtId="10" fontId="5" fillId="5" borderId="2" xfId="0" applyNumberFormat="1" applyFont="1" applyFill="1" applyBorder="1"/>
    <xf numFmtId="0" fontId="1" fillId="0" borderId="1" xfId="0" applyFont="1" applyFill="1" applyBorder="1" applyAlignment="1"/>
    <xf numFmtId="164" fontId="1" fillId="0" borderId="1" xfId="0" applyNumberFormat="1" applyFont="1" applyFill="1" applyBorder="1" applyAlignment="1"/>
    <xf numFmtId="164" fontId="1" fillId="8" borderId="2" xfId="0" applyNumberFormat="1" applyFont="1" applyFill="1" applyBorder="1"/>
    <xf numFmtId="0" fontId="11" fillId="0" borderId="0" xfId="0" applyFont="1"/>
    <xf numFmtId="0" fontId="12" fillId="0" borderId="0" xfId="0" applyFont="1"/>
    <xf numFmtId="164" fontId="0" fillId="7" borderId="1" xfId="0" applyNumberFormat="1" applyFill="1" applyBorder="1" applyAlignment="1"/>
    <xf numFmtId="164" fontId="0" fillId="7" borderId="1" xfId="0" applyNumberFormat="1" applyFill="1" applyBorder="1"/>
    <xf numFmtId="164" fontId="1" fillId="7" borderId="1" xfId="0" applyNumberFormat="1" applyFont="1" applyFill="1" applyBorder="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0" xfId="0" applyFont="1" applyFill="1" applyBorder="1" applyAlignment="1"/>
    <xf numFmtId="0" fontId="0" fillId="0" borderId="0" xfId="0" applyFill="1" applyBorder="1" applyAlignment="1"/>
    <xf numFmtId="164" fontId="0" fillId="4" borderId="7" xfId="0" applyNumberFormat="1" applyFill="1" applyBorder="1"/>
    <xf numFmtId="0" fontId="0" fillId="0" borderId="2" xfId="0" applyBorder="1" applyAlignment="1">
      <alignment vertical="center" wrapText="1"/>
    </xf>
    <xf numFmtId="0" fontId="0" fillId="0" borderId="2" xfId="0" applyBorder="1"/>
    <xf numFmtId="164" fontId="0" fillId="0" borderId="2" xfId="0" applyNumberFormat="1" applyBorder="1"/>
    <xf numFmtId="0" fontId="0" fillId="0" borderId="2" xfId="0" applyFill="1" applyBorder="1" applyAlignment="1">
      <alignment horizontal="right" vertical="center" wrapText="1"/>
    </xf>
    <xf numFmtId="0" fontId="0" fillId="0" borderId="2" xfId="0" applyFill="1" applyBorder="1" applyAlignment="1">
      <alignment vertical="center" wrapText="1"/>
    </xf>
    <xf numFmtId="0" fontId="0" fillId="0" borderId="14" xfId="0" applyBorder="1"/>
    <xf numFmtId="164" fontId="0" fillId="0" borderId="2" xfId="0" applyNumberFormat="1" applyFill="1" applyBorder="1"/>
    <xf numFmtId="0" fontId="0" fillId="9" borderId="1" xfId="0" applyFont="1" applyFill="1" applyBorder="1" applyAlignment="1">
      <alignment horizontal="center"/>
    </xf>
    <xf numFmtId="3" fontId="0" fillId="9" borderId="1" xfId="0" applyNumberFormat="1" applyFont="1" applyFill="1" applyBorder="1" applyAlignment="1">
      <alignment horizontal="center"/>
    </xf>
    <xf numFmtId="0" fontId="0" fillId="9" borderId="1" xfId="0" applyFont="1" applyFill="1" applyBorder="1" applyAlignment="1"/>
    <xf numFmtId="3" fontId="0" fillId="9" borderId="1" xfId="0" applyNumberFormat="1" applyFont="1" applyFill="1" applyBorder="1"/>
    <xf numFmtId="0" fontId="6" fillId="9" borderId="1" xfId="0" applyFont="1" applyFill="1" applyBorder="1" applyAlignment="1">
      <alignment horizontal="center"/>
    </xf>
    <xf numFmtId="3" fontId="6" fillId="9" borderId="1" xfId="0" applyNumberFormat="1" applyFont="1" applyFill="1" applyBorder="1" applyAlignment="1">
      <alignment horizontal="center"/>
    </xf>
    <xf numFmtId="0" fontId="0" fillId="4" borderId="6" xfId="0" applyFill="1" applyBorder="1"/>
    <xf numFmtId="0" fontId="0" fillId="4" borderId="8" xfId="0" applyFill="1" applyBorder="1"/>
    <xf numFmtId="2" fontId="0" fillId="4" borderId="9" xfId="0" applyNumberFormat="1" applyFill="1" applyBorder="1"/>
    <xf numFmtId="164" fontId="0" fillId="0" borderId="0" xfId="0" applyNumberFormat="1" applyBorder="1"/>
    <xf numFmtId="0" fontId="1" fillId="0" borderId="0" xfId="0" applyFont="1" applyFill="1" applyBorder="1" applyAlignment="1"/>
    <xf numFmtId="0" fontId="0" fillId="0" borderId="0" xfId="0" applyFill="1" applyBorder="1" applyAlignment="1"/>
    <xf numFmtId="0" fontId="0" fillId="12" borderId="1" xfId="0" applyFill="1" applyBorder="1"/>
    <xf numFmtId="0" fontId="1" fillId="12" borderId="1" xfId="0" applyNumberFormat="1" applyFont="1" applyFill="1" applyBorder="1" applyAlignment="1">
      <alignment wrapText="1"/>
    </xf>
    <xf numFmtId="0" fontId="1" fillId="12" borderId="1" xfId="0" applyFont="1" applyFill="1" applyBorder="1"/>
    <xf numFmtId="0" fontId="2" fillId="12" borderId="1" xfId="0" applyFont="1" applyFill="1" applyBorder="1" applyAlignment="1">
      <alignment wrapText="1"/>
    </xf>
    <xf numFmtId="0" fontId="3" fillId="12" borderId="1" xfId="0" applyFont="1" applyFill="1" applyBorder="1" applyAlignment="1">
      <alignment wrapText="1"/>
    </xf>
    <xf numFmtId="0" fontId="2" fillId="12" borderId="1" xfId="0" applyFont="1" applyFill="1" applyBorder="1" applyAlignment="1">
      <alignment horizontal="center" vertical="center" wrapText="1"/>
    </xf>
    <xf numFmtId="164" fontId="0" fillId="12" borderId="1" xfId="0" applyNumberFormat="1" applyFill="1" applyBorder="1"/>
    <xf numFmtId="165" fontId="0" fillId="12" borderId="1" xfId="0" applyNumberFormat="1" applyFill="1" applyBorder="1"/>
    <xf numFmtId="0" fontId="0" fillId="0" borderId="0" xfId="0" applyFill="1" applyBorder="1" applyAlignment="1"/>
    <xf numFmtId="0" fontId="0" fillId="0" borderId="0" xfId="0" applyAlignment="1">
      <alignment wrapText="1"/>
    </xf>
    <xf numFmtId="0" fontId="1" fillId="0" borderId="0" xfId="0" applyFont="1" applyFill="1" applyBorder="1" applyAlignment="1"/>
    <xf numFmtId="10" fontId="0" fillId="0" borderId="0" xfId="0" applyNumberFormat="1" applyBorder="1"/>
    <xf numFmtId="164" fontId="1" fillId="0" borderId="0" xfId="0" applyNumberFormat="1" applyFont="1" applyBorder="1"/>
    <xf numFmtId="0" fontId="1" fillId="5" borderId="26" xfId="0" applyFont="1" applyFill="1" applyBorder="1"/>
    <xf numFmtId="164" fontId="8" fillId="9" borderId="1" xfId="0" applyNumberFormat="1" applyFont="1" applyFill="1" applyBorder="1" applyAlignment="1">
      <alignment horizontal="center"/>
    </xf>
    <xf numFmtId="0" fontId="8" fillId="9" borderId="1" xfId="0" applyFont="1" applyFill="1" applyBorder="1" applyAlignment="1">
      <alignment horizontal="center"/>
    </xf>
    <xf numFmtId="0" fontId="13" fillId="0" borderId="0" xfId="0" applyFont="1"/>
    <xf numFmtId="0" fontId="15" fillId="0" borderId="0" xfId="0" applyFont="1"/>
    <xf numFmtId="0" fontId="16" fillId="0" borderId="0" xfId="0" applyFont="1"/>
    <xf numFmtId="0" fontId="17" fillId="0" borderId="0" xfId="0" applyFont="1"/>
    <xf numFmtId="0" fontId="1" fillId="8" borderId="13" xfId="0" applyFont="1" applyFill="1" applyBorder="1" applyAlignment="1"/>
    <xf numFmtId="0" fontId="0" fillId="8" borderId="14" xfId="0" applyFill="1" applyBorder="1" applyAlignment="1"/>
    <xf numFmtId="0" fontId="0" fillId="8" borderId="15" xfId="0" applyFill="1" applyBorder="1" applyAlignment="1"/>
    <xf numFmtId="0" fontId="0" fillId="0" borderId="19" xfId="0" applyBorder="1" applyAlignment="1"/>
    <xf numFmtId="0" fontId="0" fillId="0" borderId="20" xfId="0" applyBorder="1" applyAlignment="1"/>
    <xf numFmtId="0" fontId="0" fillId="0" borderId="21" xfId="0" applyBorder="1" applyAlignment="1"/>
    <xf numFmtId="0" fontId="0" fillId="0" borderId="24" xfId="0" applyBorder="1" applyAlignment="1"/>
    <xf numFmtId="0" fontId="0" fillId="0" borderId="23" xfId="0" applyBorder="1" applyAlignment="1"/>
    <xf numFmtId="0" fontId="0" fillId="0" borderId="22" xfId="0" applyBorder="1" applyAlignment="1"/>
    <xf numFmtId="0" fontId="1" fillId="0" borderId="4" xfId="0" applyFont="1" applyBorder="1" applyAlignment="1"/>
    <xf numFmtId="0" fontId="1" fillId="0" borderId="0" xfId="0" applyFont="1" applyBorder="1" applyAlignment="1"/>
    <xf numFmtId="0" fontId="1" fillId="0" borderId="6" xfId="0" applyFont="1" applyBorder="1" applyAlignment="1"/>
    <xf numFmtId="0" fontId="0" fillId="0" borderId="8" xfId="0" applyBorder="1" applyAlignment="1"/>
    <xf numFmtId="0" fontId="0" fillId="0" borderId="9" xfId="0" applyBorder="1" applyAlignment="1"/>
    <xf numFmtId="0" fontId="1" fillId="5" borderId="25" xfId="0" applyFont="1" applyFill="1" applyBorder="1" applyAlignment="1"/>
    <xf numFmtId="0" fontId="1" fillId="5" borderId="26" xfId="0" applyFont="1" applyFill="1" applyBorder="1" applyAlignment="1"/>
    <xf numFmtId="0" fontId="1" fillId="0" borderId="0" xfId="0" applyFont="1" applyFill="1" applyBorder="1" applyAlignment="1"/>
    <xf numFmtId="168" fontId="0" fillId="0" borderId="10" xfId="0" applyNumberFormat="1" applyBorder="1"/>
    <xf numFmtId="164" fontId="1" fillId="8" borderId="15" xfId="0" applyNumberFormat="1" applyFont="1" applyFill="1" applyBorder="1"/>
    <xf numFmtId="164" fontId="1" fillId="8" borderId="8" xfId="0" applyNumberFormat="1" applyFont="1" applyFill="1" applyBorder="1"/>
    <xf numFmtId="0" fontId="0" fillId="0" borderId="20" xfId="0" applyBorder="1" applyAlignment="1"/>
    <xf numFmtId="0" fontId="0" fillId="0" borderId="21" xfId="0" applyBorder="1" applyAlignment="1"/>
    <xf numFmtId="0" fontId="1" fillId="8" borderId="13" xfId="0" applyFont="1" applyFill="1" applyBorder="1" applyAlignment="1"/>
    <xf numFmtId="0" fontId="0" fillId="8" borderId="14" xfId="0" applyFill="1" applyBorder="1" applyAlignment="1"/>
    <xf numFmtId="0" fontId="0" fillId="8" borderId="15" xfId="0" applyFill="1" applyBorder="1" applyAlignment="1"/>
    <xf numFmtId="0" fontId="0" fillId="0" borderId="24" xfId="0" applyBorder="1" applyAlignment="1"/>
    <xf numFmtId="0" fontId="0" fillId="0" borderId="23" xfId="0" applyBorder="1" applyAlignment="1"/>
    <xf numFmtId="0" fontId="0" fillId="0" borderId="22" xfId="0" applyBorder="1" applyAlignment="1"/>
    <xf numFmtId="0" fontId="0" fillId="0" borderId="4" xfId="0" applyBorder="1" applyAlignment="1">
      <alignment wrapText="1"/>
    </xf>
    <xf numFmtId="0" fontId="0" fillId="0" borderId="19" xfId="0" applyBorder="1" applyAlignment="1"/>
    <xf numFmtId="0" fontId="1" fillId="0" borderId="4" xfId="0" applyFont="1" applyBorder="1" applyAlignment="1"/>
    <xf numFmtId="0" fontId="1" fillId="0" borderId="0" xfId="0" applyFont="1" applyBorder="1" applyAlignment="1"/>
    <xf numFmtId="0" fontId="1" fillId="0" borderId="6" xfId="0" applyFont="1" applyBorder="1" applyAlignment="1"/>
    <xf numFmtId="0" fontId="0" fillId="0" borderId="8" xfId="0" applyBorder="1" applyAlignment="1"/>
    <xf numFmtId="0" fontId="0" fillId="0" borderId="9" xfId="0" applyBorder="1" applyAlignment="1"/>
    <xf numFmtId="0" fontId="0" fillId="0" borderId="4" xfId="0" applyBorder="1" applyAlignment="1"/>
    <xf numFmtId="0" fontId="0" fillId="0" borderId="0" xfId="0" applyBorder="1" applyAlignment="1">
      <alignment vertical="top" wrapText="1"/>
    </xf>
    <xf numFmtId="0" fontId="0" fillId="0" borderId="0" xfId="0" applyFill="1" applyBorder="1" applyAlignment="1"/>
    <xf numFmtId="164" fontId="0" fillId="0" borderId="18" xfId="0" applyNumberFormat="1" applyFill="1" applyBorder="1"/>
    <xf numFmtId="164" fontId="0" fillId="0" borderId="10" xfId="0" applyNumberFormat="1" applyFill="1" applyBorder="1"/>
    <xf numFmtId="0" fontId="1" fillId="0" borderId="0" xfId="0" applyFont="1" applyFill="1"/>
    <xf numFmtId="0" fontId="0" fillId="0" borderId="4" xfId="0" applyBorder="1" applyAlignment="1">
      <alignment wrapText="1"/>
    </xf>
    <xf numFmtId="0" fontId="0" fillId="0" borderId="19" xfId="0" applyBorder="1" applyAlignment="1"/>
    <xf numFmtId="0" fontId="0" fillId="0" borderId="20" xfId="0" applyBorder="1" applyAlignment="1"/>
    <xf numFmtId="0" fontId="0" fillId="0" borderId="21" xfId="0" applyBorder="1" applyAlignment="1"/>
    <xf numFmtId="0" fontId="1" fillId="0" borderId="4" xfId="0" applyFont="1" applyBorder="1" applyAlignment="1"/>
    <xf numFmtId="0" fontId="1" fillId="0" borderId="0" xfId="0" applyFont="1" applyBorder="1" applyAlignment="1"/>
    <xf numFmtId="0" fontId="1" fillId="0" borderId="6" xfId="0" applyFont="1" applyBorder="1" applyAlignment="1"/>
    <xf numFmtId="0" fontId="0" fillId="0" borderId="8" xfId="0" applyBorder="1" applyAlignment="1"/>
    <xf numFmtId="0" fontId="0" fillId="0" borderId="9" xfId="0" applyBorder="1" applyAlignment="1"/>
    <xf numFmtId="0" fontId="1" fillId="8" borderId="13" xfId="0" applyFont="1" applyFill="1" applyBorder="1" applyAlignment="1"/>
    <xf numFmtId="0" fontId="0" fillId="8" borderId="14" xfId="0" applyFill="1" applyBorder="1" applyAlignment="1"/>
    <xf numFmtId="0" fontId="0" fillId="8" borderId="15" xfId="0" applyFill="1" applyBorder="1" applyAlignment="1"/>
    <xf numFmtId="0" fontId="0" fillId="0" borderId="24" xfId="0" applyBorder="1" applyAlignment="1"/>
    <xf numFmtId="0" fontId="0" fillId="0" borderId="23" xfId="0" applyBorder="1" applyAlignment="1"/>
    <xf numFmtId="0" fontId="0" fillId="0" borderId="22" xfId="0" applyBorder="1" applyAlignment="1"/>
    <xf numFmtId="0" fontId="1" fillId="5" borderId="25" xfId="0" applyFont="1" applyFill="1" applyBorder="1" applyAlignment="1"/>
    <xf numFmtId="0" fontId="1" fillId="5" borderId="26" xfId="0" applyFont="1" applyFill="1" applyBorder="1" applyAlignment="1"/>
    <xf numFmtId="0" fontId="0" fillId="0" borderId="4" xfId="0" applyBorder="1" applyAlignment="1"/>
    <xf numFmtId="0" fontId="0" fillId="0" borderId="0" xfId="0" applyAlignment="1"/>
    <xf numFmtId="0" fontId="1" fillId="0" borderId="1" xfId="0" applyFont="1" applyFill="1" applyBorder="1" applyAlignment="1"/>
    <xf numFmtId="0" fontId="0" fillId="0" borderId="0" xfId="0" applyFill="1" applyBorder="1" applyAlignment="1"/>
    <xf numFmtId="0" fontId="1" fillId="0" borderId="0" xfId="0" applyFont="1" applyFill="1" applyBorder="1" applyAlignment="1"/>
    <xf numFmtId="0" fontId="4" fillId="13" borderId="25" xfId="0" applyFont="1" applyFill="1" applyBorder="1"/>
    <xf numFmtId="0" fontId="0" fillId="13" borderId="14" xfId="0" applyFill="1" applyBorder="1"/>
    <xf numFmtId="0" fontId="0" fillId="13" borderId="26" xfId="0" applyFill="1" applyBorder="1"/>
    <xf numFmtId="0" fontId="1" fillId="4" borderId="25" xfId="0" applyFont="1" applyFill="1" applyBorder="1" applyAlignment="1">
      <alignment vertical="center"/>
    </xf>
    <xf numFmtId="0" fontId="0" fillId="4" borderId="14" xfId="0" applyFill="1" applyBorder="1" applyAlignment="1">
      <alignment vertical="center"/>
    </xf>
    <xf numFmtId="0" fontId="0" fillId="4" borderId="26" xfId="0" applyFill="1" applyBorder="1" applyAlignment="1">
      <alignment vertical="center"/>
    </xf>
    <xf numFmtId="0" fontId="6" fillId="0" borderId="0" xfId="0" applyFont="1" applyAlignment="1">
      <alignment vertical="top" wrapText="1"/>
    </xf>
    <xf numFmtId="164" fontId="0" fillId="0" borderId="17" xfId="0" applyNumberFormat="1" applyFont="1" applyFill="1" applyBorder="1"/>
    <xf numFmtId="164" fontId="0" fillId="0" borderId="7" xfId="0" applyNumberFormat="1" applyFill="1" applyBorder="1"/>
    <xf numFmtId="0" fontId="4" fillId="0" borderId="0" xfId="0" applyFont="1" applyBorder="1"/>
    <xf numFmtId="0" fontId="1" fillId="0" borderId="0" xfId="0" applyFont="1" applyBorder="1" applyAlignment="1">
      <alignment horizontal="center" wrapText="1"/>
    </xf>
    <xf numFmtId="0" fontId="1" fillId="0" borderId="0" xfId="0" applyFont="1" applyBorder="1" applyAlignment="1">
      <alignment wrapText="1"/>
    </xf>
    <xf numFmtId="0" fontId="1" fillId="3" borderId="1" xfId="0" applyFont="1" applyFill="1" applyBorder="1" applyAlignment="1"/>
    <xf numFmtId="0" fontId="1" fillId="12" borderId="1" xfId="0" applyFont="1" applyFill="1" applyBorder="1" applyAlignment="1"/>
    <xf numFmtId="0" fontId="0" fillId="14" borderId="1" xfId="0" applyFill="1" applyBorder="1"/>
    <xf numFmtId="0" fontId="1" fillId="14" borderId="1" xfId="0" applyNumberFormat="1" applyFont="1" applyFill="1" applyBorder="1" applyAlignment="1">
      <alignment wrapText="1"/>
    </xf>
    <xf numFmtId="0" fontId="1" fillId="14" borderId="1" xfId="0" applyFont="1" applyFill="1" applyBorder="1" applyAlignment="1"/>
    <xf numFmtId="0" fontId="1" fillId="14" borderId="1" xfId="0" applyFont="1" applyFill="1" applyBorder="1"/>
    <xf numFmtId="0" fontId="2" fillId="14" borderId="1" xfId="0" applyFont="1" applyFill="1" applyBorder="1" applyAlignment="1">
      <alignment wrapText="1"/>
    </xf>
    <xf numFmtId="0" fontId="3" fillId="14" borderId="1" xfId="0" applyFont="1" applyFill="1" applyBorder="1" applyAlignment="1">
      <alignment wrapText="1"/>
    </xf>
    <xf numFmtId="0" fontId="2" fillId="14" borderId="1" xfId="0" applyFont="1" applyFill="1" applyBorder="1" applyAlignment="1">
      <alignment horizontal="center" vertical="center" wrapText="1"/>
    </xf>
    <xf numFmtId="164" fontId="0" fillId="14" borderId="1" xfId="0" applyNumberFormat="1" applyFill="1" applyBorder="1"/>
    <xf numFmtId="165" fontId="0" fillId="14" borderId="1" xfId="0" applyNumberFormat="1" applyFill="1" applyBorder="1"/>
    <xf numFmtId="0" fontId="1" fillId="2" borderId="1" xfId="0" applyFont="1" applyFill="1" applyBorder="1" applyAlignment="1"/>
    <xf numFmtId="165" fontId="0" fillId="2" borderId="1" xfId="0" applyNumberFormat="1" applyFill="1" applyBorder="1"/>
    <xf numFmtId="0" fontId="0" fillId="0" borderId="28" xfId="0" applyBorder="1"/>
    <xf numFmtId="0" fontId="0" fillId="0" borderId="39" xfId="0" applyBorder="1"/>
    <xf numFmtId="0" fontId="0" fillId="0" borderId="42" xfId="0" applyBorder="1"/>
    <xf numFmtId="0" fontId="0" fillId="0" borderId="30" xfId="0" applyBorder="1"/>
    <xf numFmtId="0" fontId="0" fillId="0" borderId="43" xfId="0" applyBorder="1"/>
    <xf numFmtId="0" fontId="0" fillId="0" borderId="30" xfId="0" applyFill="1" applyBorder="1"/>
    <xf numFmtId="0" fontId="0" fillId="0" borderId="44" xfId="0" applyFill="1" applyBorder="1"/>
    <xf numFmtId="0" fontId="0" fillId="0" borderId="31" xfId="0" applyFill="1" applyBorder="1"/>
    <xf numFmtId="0" fontId="0" fillId="0" borderId="45" xfId="0" applyBorder="1"/>
    <xf numFmtId="0" fontId="1" fillId="5" borderId="25" xfId="0" applyFont="1" applyFill="1" applyBorder="1" applyAlignment="1"/>
    <xf numFmtId="0" fontId="0" fillId="0" borderId="26" xfId="0" applyBorder="1" applyAlignment="1"/>
    <xf numFmtId="0" fontId="4" fillId="6" borderId="19" xfId="0" applyFont="1" applyFill="1" applyBorder="1" applyAlignment="1">
      <alignment horizontal="center"/>
    </xf>
    <xf numFmtId="0" fontId="0" fillId="0" borderId="20" xfId="0" applyBorder="1" applyAlignment="1"/>
    <xf numFmtId="0" fontId="0" fillId="0" borderId="21" xfId="0" applyBorder="1" applyAlignment="1"/>
    <xf numFmtId="0" fontId="0" fillId="0" borderId="0" xfId="0" applyBorder="1" applyAlignment="1">
      <alignment horizontal="center" vertical="top" wrapText="1"/>
    </xf>
    <xf numFmtId="0" fontId="1" fillId="8" borderId="13" xfId="0" applyFont="1" applyFill="1" applyBorder="1" applyAlignment="1"/>
    <xf numFmtId="0" fontId="0" fillId="8" borderId="14" xfId="0" applyFill="1" applyBorder="1" applyAlignment="1"/>
    <xf numFmtId="0" fontId="0" fillId="8" borderId="15" xfId="0" applyFill="1" applyBorder="1" applyAlignment="1"/>
    <xf numFmtId="0" fontId="0" fillId="0" borderId="24" xfId="0" applyBorder="1" applyAlignment="1"/>
    <xf numFmtId="0" fontId="0" fillId="0" borderId="23" xfId="0" applyBorder="1" applyAlignment="1"/>
    <xf numFmtId="0" fontId="0" fillId="0" borderId="22" xfId="0" applyBorder="1" applyAlignment="1"/>
    <xf numFmtId="0" fontId="0" fillId="0" borderId="19" xfId="0" applyBorder="1" applyAlignment="1"/>
    <xf numFmtId="0" fontId="1" fillId="0" borderId="4" xfId="0" applyFont="1" applyBorder="1" applyAlignment="1"/>
    <xf numFmtId="0" fontId="1" fillId="0" borderId="0" xfId="0" applyFont="1" applyBorder="1" applyAlignment="1"/>
    <xf numFmtId="0" fontId="1" fillId="0" borderId="6" xfId="0" applyFont="1" applyBorder="1" applyAlignment="1"/>
    <xf numFmtId="0" fontId="0" fillId="0" borderId="8" xfId="0" applyBorder="1" applyAlignment="1"/>
    <xf numFmtId="0" fontId="0" fillId="0" borderId="9" xfId="0" applyBorder="1" applyAlignment="1"/>
    <xf numFmtId="0" fontId="1" fillId="5" borderId="26" xfId="0" applyFont="1" applyFill="1" applyBorder="1" applyAlignment="1"/>
    <xf numFmtId="0" fontId="0" fillId="0" borderId="25" xfId="0" applyBorder="1" applyAlignment="1"/>
    <xf numFmtId="164" fontId="0" fillId="8" borderId="25" xfId="0" applyNumberFormat="1" applyFill="1" applyBorder="1" applyAlignment="1"/>
    <xf numFmtId="0" fontId="4" fillId="6" borderId="5" xfId="0" applyFont="1" applyFill="1"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1" fillId="0" borderId="13" xfId="0" applyFont="1" applyFill="1" applyBorder="1" applyAlignment="1"/>
    <xf numFmtId="0" fontId="0" fillId="0" borderId="14" xfId="0" applyFill="1" applyBorder="1" applyAlignment="1"/>
    <xf numFmtId="0" fontId="0" fillId="0" borderId="15" xfId="0" applyFill="1" applyBorder="1" applyAlignment="1"/>
    <xf numFmtId="0" fontId="6" fillId="0" borderId="0" xfId="0" applyFont="1" applyAlignment="1">
      <alignment horizontal="center" vertical="top" wrapText="1"/>
    </xf>
    <xf numFmtId="0" fontId="1" fillId="8" borderId="25" xfId="0" applyFont="1" applyFill="1" applyBorder="1" applyAlignment="1"/>
    <xf numFmtId="0" fontId="0" fillId="8" borderId="26" xfId="0" applyFill="1" applyBorder="1" applyAlignment="1"/>
    <xf numFmtId="0" fontId="1" fillId="8" borderId="40" xfId="0" applyFont="1" applyFill="1" applyBorder="1" applyAlignment="1"/>
    <xf numFmtId="0" fontId="0" fillId="8" borderId="7" xfId="0" applyFill="1" applyBorder="1" applyAlignment="1"/>
    <xf numFmtId="0" fontId="0" fillId="8" borderId="41" xfId="0" applyFill="1" applyBorder="1" applyAlignment="1"/>
    <xf numFmtId="164" fontId="1" fillId="8" borderId="25" xfId="0" applyNumberFormat="1" applyFont="1" applyFill="1" applyBorder="1" applyAlignment="1"/>
    <xf numFmtId="0" fontId="0" fillId="0" borderId="14" xfId="0" applyBorder="1" applyAlignment="1"/>
    <xf numFmtId="0" fontId="0" fillId="0" borderId="15" xfId="0" applyBorder="1" applyAlignment="1"/>
    <xf numFmtId="0" fontId="1" fillId="0" borderId="1" xfId="0" applyFont="1" applyBorder="1" applyAlignment="1">
      <alignment horizontal="center"/>
    </xf>
    <xf numFmtId="0" fontId="1" fillId="4" borderId="6" xfId="0" applyFont="1" applyFill="1" applyBorder="1" applyAlignment="1"/>
    <xf numFmtId="0" fontId="0" fillId="4" borderId="8" xfId="0" applyFill="1" applyBorder="1" applyAlignment="1"/>
    <xf numFmtId="0" fontId="0" fillId="4" borderId="9" xfId="0" applyFill="1" applyBorder="1" applyAlignment="1"/>
    <xf numFmtId="0" fontId="1" fillId="4" borderId="13" xfId="0" applyFont="1" applyFill="1" applyBorder="1" applyAlignment="1"/>
    <xf numFmtId="0" fontId="0" fillId="4" borderId="14" xfId="0" applyFill="1" applyBorder="1" applyAlignment="1"/>
    <xf numFmtId="0" fontId="0" fillId="4" borderId="15" xfId="0" applyFill="1" applyBorder="1" applyAlignment="1"/>
    <xf numFmtId="0" fontId="1" fillId="8" borderId="6" xfId="0" applyFont="1" applyFill="1" applyBorder="1" applyAlignment="1"/>
    <xf numFmtId="0" fontId="0" fillId="8" borderId="8" xfId="0" applyFill="1" applyBorder="1" applyAlignment="1"/>
    <xf numFmtId="0" fontId="0" fillId="8" borderId="9" xfId="0" applyFill="1" applyBorder="1" applyAlignment="1"/>
    <xf numFmtId="0" fontId="1" fillId="0" borderId="25" xfId="0" applyFont="1" applyBorder="1" applyAlignment="1">
      <alignment horizontal="center"/>
    </xf>
    <xf numFmtId="0" fontId="1" fillId="0" borderId="14" xfId="0" applyFont="1" applyBorder="1" applyAlignment="1">
      <alignment horizontal="center"/>
    </xf>
    <xf numFmtId="0" fontId="1" fillId="0" borderId="26" xfId="0" applyFont="1" applyBorder="1" applyAlignment="1">
      <alignment horizontal="center"/>
    </xf>
    <xf numFmtId="0" fontId="1" fillId="9" borderId="25" xfId="0" applyFont="1" applyFill="1" applyBorder="1" applyAlignment="1"/>
    <xf numFmtId="0" fontId="0" fillId="9" borderId="26" xfId="0" applyFill="1" applyBorder="1" applyAlignment="1"/>
    <xf numFmtId="0" fontId="1" fillId="9" borderId="18" xfId="0" applyFont="1" applyFill="1" applyBorder="1" applyAlignment="1"/>
    <xf numFmtId="0" fontId="0" fillId="9" borderId="18" xfId="0" applyFill="1" applyBorder="1" applyAlignment="1"/>
    <xf numFmtId="0" fontId="1" fillId="9" borderId="1" xfId="0" applyFont="1" applyFill="1" applyBorder="1" applyAlignment="1"/>
    <xf numFmtId="0" fontId="0" fillId="9" borderId="1" xfId="0" applyFill="1" applyBorder="1" applyAlignment="1"/>
    <xf numFmtId="0" fontId="1" fillId="8" borderId="14" xfId="0" applyFont="1" applyFill="1" applyBorder="1" applyAlignment="1"/>
    <xf numFmtId="0" fontId="1" fillId="8" borderId="15" xfId="0" applyFont="1" applyFill="1" applyBorder="1" applyAlignment="1"/>
    <xf numFmtId="0" fontId="18" fillId="0" borderId="0" xfId="0" applyFont="1" applyBorder="1" applyAlignment="1">
      <alignment horizontal="right"/>
    </xf>
    <xf numFmtId="0" fontId="18" fillId="0" borderId="0" xfId="0" applyFont="1" applyAlignment="1">
      <alignment horizontal="right"/>
    </xf>
    <xf numFmtId="0" fontId="0" fillId="0" borderId="0" xfId="0" applyFill="1" applyBorder="1" applyAlignment="1"/>
    <xf numFmtId="0" fontId="1" fillId="0" borderId="14" xfId="0" applyFont="1" applyFill="1" applyBorder="1" applyAlignment="1"/>
    <xf numFmtId="0" fontId="1" fillId="0" borderId="15" xfId="0" applyFont="1" applyFill="1" applyBorder="1" applyAlignment="1"/>
    <xf numFmtId="0" fontId="1" fillId="0" borderId="0" xfId="0" applyFont="1" applyFill="1" applyBorder="1" applyAlignment="1"/>
    <xf numFmtId="0" fontId="1" fillId="0" borderId="38" xfId="0" applyFont="1" applyBorder="1" applyAlignment="1"/>
    <xf numFmtId="0" fontId="1" fillId="0" borderId="13" xfId="0" applyFont="1" applyBorder="1" applyAlignment="1"/>
    <xf numFmtId="0" fontId="1" fillId="0" borderId="14" xfId="0" applyFont="1" applyBorder="1" applyAlignment="1"/>
    <xf numFmtId="0" fontId="1" fillId="0" borderId="15" xfId="0" applyFont="1" applyBorder="1" applyAlignment="1"/>
    <xf numFmtId="0" fontId="0" fillId="0" borderId="46" xfId="0" applyBorder="1" applyAlignment="1">
      <alignment horizontal="center" vertical="top" wrapText="1"/>
    </xf>
    <xf numFmtId="0" fontId="0" fillId="0" borderId="39" xfId="0" applyBorder="1" applyAlignment="1">
      <alignment horizontal="center" vertical="top" wrapText="1"/>
    </xf>
    <xf numFmtId="0" fontId="0" fillId="0" borderId="42" xfId="0" applyBorder="1" applyAlignment="1">
      <alignment horizontal="center" vertical="top" wrapText="1"/>
    </xf>
    <xf numFmtId="0" fontId="0" fillId="0" borderId="47" xfId="0" applyBorder="1" applyAlignment="1">
      <alignment horizontal="center" vertical="top" wrapText="1"/>
    </xf>
    <xf numFmtId="0" fontId="0" fillId="0" borderId="43" xfId="0" applyBorder="1" applyAlignment="1">
      <alignment horizontal="center" vertical="top" wrapText="1"/>
    </xf>
    <xf numFmtId="0" fontId="0" fillId="0" borderId="48" xfId="0" applyBorder="1" applyAlignment="1">
      <alignment horizontal="center" vertical="top" wrapText="1"/>
    </xf>
    <xf numFmtId="0" fontId="0" fillId="0" borderId="8" xfId="0" applyBorder="1" applyAlignment="1">
      <alignment horizontal="center" vertical="top" wrapText="1"/>
    </xf>
    <xf numFmtId="0" fontId="0" fillId="0" borderId="45" xfId="0" applyBorder="1" applyAlignment="1">
      <alignment horizontal="center" vertical="top" wrapText="1"/>
    </xf>
    <xf numFmtId="0" fontId="1" fillId="0" borderId="0" xfId="0" applyFont="1" applyFill="1" applyBorder="1" applyAlignment="1">
      <alignment wrapText="1"/>
    </xf>
    <xf numFmtId="0" fontId="0" fillId="0" borderId="0" xfId="0" applyAlignment="1">
      <alignment wrapText="1"/>
    </xf>
    <xf numFmtId="10" fontId="0" fillId="15" borderId="1" xfId="2" applyNumberFormat="1" applyFont="1" applyFill="1" applyBorder="1" applyAlignment="1">
      <alignment horizontal="right"/>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abSelected="1" topLeftCell="A10" zoomScaleNormal="100" workbookViewId="0">
      <selection activeCell="H9" sqref="H9"/>
    </sheetView>
  </sheetViews>
  <sheetFormatPr baseColWidth="10" defaultRowHeight="14.4" x14ac:dyDescent="0.3"/>
  <cols>
    <col min="1" max="1" width="19" customWidth="1"/>
    <col min="2" max="2" width="3.5546875" customWidth="1"/>
    <col min="4" max="4" width="17.5546875" customWidth="1"/>
    <col min="6" max="6" width="20.6640625" customWidth="1"/>
    <col min="9" max="9" width="20.109375" customWidth="1"/>
    <col min="10" max="10" width="12.5546875" customWidth="1"/>
    <col min="11" max="11" width="19" customWidth="1"/>
    <col min="14" max="14" width="18.33203125" customWidth="1"/>
    <col min="17" max="17" width="11.5546875" customWidth="1"/>
    <col min="18" max="18" width="12" customWidth="1"/>
    <col min="19" max="19" width="16.5546875" customWidth="1"/>
  </cols>
  <sheetData>
    <row r="1" spans="1:24" ht="21" x14ac:dyDescent="0.4">
      <c r="A1" s="241" t="s">
        <v>192</v>
      </c>
      <c r="C1" s="3" t="s">
        <v>39</v>
      </c>
      <c r="F1" s="197" t="s">
        <v>177</v>
      </c>
    </row>
    <row r="2" spans="1:24" ht="8.25" customHeight="1" thickBot="1" x14ac:dyDescent="0.45">
      <c r="A2" s="241"/>
      <c r="C2" s="3"/>
      <c r="F2" s="197"/>
    </row>
    <row r="3" spans="1:24" ht="21.75" customHeight="1" thickBot="1" x14ac:dyDescent="0.45">
      <c r="A3" s="1"/>
      <c r="C3" s="264" t="s">
        <v>113</v>
      </c>
      <c r="D3" s="265"/>
      <c r="E3" s="265"/>
      <c r="F3" s="265"/>
      <c r="G3" s="265"/>
      <c r="H3" s="265"/>
      <c r="I3" s="266"/>
      <c r="K3" s="303" t="s">
        <v>195</v>
      </c>
      <c r="L3" s="303"/>
      <c r="M3" s="303"/>
      <c r="N3" s="303"/>
      <c r="O3" s="303"/>
      <c r="P3" s="303"/>
      <c r="Q3" s="237"/>
      <c r="R3" s="237"/>
      <c r="S3" s="237"/>
      <c r="T3" s="237"/>
      <c r="U3" s="237"/>
      <c r="V3" s="237"/>
      <c r="W3" s="237"/>
      <c r="X3" s="237"/>
    </row>
    <row r="4" spans="1:24" ht="21.75" customHeight="1" thickBot="1" x14ac:dyDescent="0.35">
      <c r="A4" s="1"/>
      <c r="C4" s="267" t="s">
        <v>151</v>
      </c>
      <c r="D4" s="268"/>
      <c r="E4" s="268"/>
      <c r="F4" s="268"/>
      <c r="G4" s="268"/>
      <c r="H4" s="268"/>
      <c r="I4" s="269"/>
      <c r="K4" s="303"/>
      <c r="L4" s="303"/>
      <c r="M4" s="303"/>
      <c r="N4" s="303"/>
      <c r="O4" s="303"/>
      <c r="P4" s="303"/>
      <c r="Q4" s="237"/>
      <c r="R4" s="237"/>
      <c r="S4" s="237"/>
      <c r="T4" s="237"/>
      <c r="U4" s="237"/>
      <c r="V4" s="237"/>
      <c r="W4" s="237"/>
      <c r="X4" s="237"/>
    </row>
    <row r="5" spans="1:24" ht="15" thickBot="1" x14ac:dyDescent="0.35">
      <c r="K5" s="303"/>
      <c r="L5" s="303"/>
      <c r="M5" s="303"/>
      <c r="N5" s="303"/>
      <c r="O5" s="303"/>
      <c r="P5" s="303"/>
    </row>
    <row r="6" spans="1:24" ht="15" thickBot="1" x14ac:dyDescent="0.35">
      <c r="A6" s="1" t="s">
        <v>36</v>
      </c>
      <c r="C6" t="s">
        <v>37</v>
      </c>
      <c r="D6" s="18">
        <v>1</v>
      </c>
      <c r="G6" s="1"/>
      <c r="J6" s="98"/>
      <c r="K6" s="303"/>
      <c r="L6" s="303"/>
      <c r="M6" s="303"/>
      <c r="N6" s="303"/>
      <c r="O6" s="303"/>
      <c r="P6" s="303"/>
    </row>
    <row r="7" spans="1:24" x14ac:dyDescent="0.3">
      <c r="C7" t="s">
        <v>184</v>
      </c>
      <c r="K7" s="303"/>
      <c r="L7" s="303"/>
      <c r="M7" s="303"/>
      <c r="N7" s="303"/>
      <c r="O7" s="303"/>
      <c r="P7" s="303"/>
    </row>
    <row r="9" spans="1:24" x14ac:dyDescent="0.3">
      <c r="H9" t="s">
        <v>170</v>
      </c>
      <c r="M9" t="s">
        <v>196</v>
      </c>
      <c r="R9" t="s">
        <v>197</v>
      </c>
    </row>
    <row r="10" spans="1:24" ht="15" thickBot="1" x14ac:dyDescent="0.35">
      <c r="A10" s="1" t="s">
        <v>36</v>
      </c>
      <c r="C10" s="1" t="s">
        <v>9</v>
      </c>
      <c r="D10" s="1"/>
      <c r="E10" s="1" t="s">
        <v>38</v>
      </c>
      <c r="H10" s="1" t="s">
        <v>9</v>
      </c>
      <c r="J10" s="1" t="s">
        <v>38</v>
      </c>
      <c r="M10" s="1" t="s">
        <v>9</v>
      </c>
      <c r="O10" s="1" t="s">
        <v>38</v>
      </c>
      <c r="R10" s="1" t="s">
        <v>9</v>
      </c>
      <c r="T10" s="1" t="s">
        <v>38</v>
      </c>
    </row>
    <row r="11" spans="1:24" ht="15" thickBot="1" x14ac:dyDescent="0.35">
      <c r="C11" s="298" t="s">
        <v>19</v>
      </c>
      <c r="D11" s="299"/>
      <c r="E11" s="48" t="s">
        <v>4</v>
      </c>
      <c r="H11" s="298" t="s">
        <v>19</v>
      </c>
      <c r="I11" s="299"/>
      <c r="J11" s="194" t="s">
        <v>3</v>
      </c>
      <c r="M11" s="298" t="s">
        <v>19</v>
      </c>
      <c r="N11" s="299"/>
      <c r="O11" s="194" t="s">
        <v>3</v>
      </c>
      <c r="R11" s="298" t="s">
        <v>19</v>
      </c>
      <c r="S11" s="299"/>
      <c r="T11" s="194" t="s">
        <v>3</v>
      </c>
    </row>
    <row r="13" spans="1:24" ht="21.75" customHeight="1" thickBot="1" x14ac:dyDescent="0.45">
      <c r="C13" s="21"/>
      <c r="D13" s="22">
        <v>2021</v>
      </c>
      <c r="E13" s="23"/>
      <c r="F13" s="24"/>
      <c r="H13" s="300" t="s">
        <v>176</v>
      </c>
      <c r="I13" s="301"/>
      <c r="J13" s="301"/>
      <c r="K13" s="302"/>
      <c r="L13" s="229"/>
      <c r="M13" s="300" t="s">
        <v>193</v>
      </c>
      <c r="N13" s="301"/>
      <c r="O13" s="301"/>
      <c r="P13" s="302"/>
      <c r="Q13" s="229"/>
      <c r="R13" s="300" t="s">
        <v>194</v>
      </c>
      <c r="S13" s="301"/>
      <c r="T13" s="301"/>
      <c r="U13" s="302"/>
      <c r="V13" s="229"/>
    </row>
    <row r="14" spans="1:24" x14ac:dyDescent="0.3">
      <c r="C14" s="19"/>
      <c r="D14" s="20"/>
      <c r="E14" s="27"/>
      <c r="F14" s="32" t="s">
        <v>44</v>
      </c>
      <c r="H14" s="19"/>
      <c r="I14" s="20"/>
      <c r="J14" s="29"/>
      <c r="K14" s="28" t="s">
        <v>44</v>
      </c>
      <c r="L14" s="229"/>
      <c r="M14" s="19"/>
      <c r="N14" s="20"/>
      <c r="O14" s="29"/>
      <c r="P14" s="28" t="s">
        <v>44</v>
      </c>
      <c r="Q14" s="229"/>
      <c r="R14" s="19"/>
      <c r="S14" s="20"/>
      <c r="T14" s="29"/>
      <c r="U14" s="28" t="s">
        <v>44</v>
      </c>
      <c r="V14" s="229"/>
    </row>
    <row r="15" spans="1:24" x14ac:dyDescent="0.3">
      <c r="C15" s="311" t="s">
        <v>40</v>
      </c>
      <c r="D15" s="312"/>
      <c r="E15" s="29"/>
      <c r="F15" s="28" t="str">
        <f>C11</f>
        <v xml:space="preserve">E 13 </v>
      </c>
      <c r="H15" s="210" t="s">
        <v>40</v>
      </c>
      <c r="I15" s="211"/>
      <c r="J15" s="29"/>
      <c r="K15" s="28" t="str">
        <f>H11</f>
        <v xml:space="preserve">E 13 </v>
      </c>
      <c r="L15" s="229"/>
      <c r="M15" s="231" t="s">
        <v>40</v>
      </c>
      <c r="N15" s="232"/>
      <c r="O15" s="29"/>
      <c r="P15" s="28" t="str">
        <f>M11</f>
        <v xml:space="preserve">E 13 </v>
      </c>
      <c r="Q15" s="229"/>
      <c r="R15" s="231" t="s">
        <v>40</v>
      </c>
      <c r="S15" s="232"/>
      <c r="T15" s="29"/>
      <c r="U15" s="28" t="str">
        <f>R11</f>
        <v xml:space="preserve">E 13 </v>
      </c>
      <c r="V15" s="229"/>
    </row>
    <row r="16" spans="1:24" x14ac:dyDescent="0.3">
      <c r="C16" s="19"/>
      <c r="D16" s="20"/>
      <c r="E16" s="28"/>
      <c r="F16" s="28" t="str">
        <f>E11</f>
        <v>Stufe 3</v>
      </c>
      <c r="H16" s="19"/>
      <c r="I16" s="20"/>
      <c r="J16" s="28"/>
      <c r="K16" s="28" t="str">
        <f>J11</f>
        <v>Stufe 2</v>
      </c>
      <c r="L16" s="229"/>
      <c r="M16" s="19"/>
      <c r="N16" s="20"/>
      <c r="O16" s="28"/>
      <c r="P16" s="28" t="str">
        <f>O11</f>
        <v>Stufe 2</v>
      </c>
      <c r="Q16" s="229"/>
      <c r="R16" s="19"/>
      <c r="S16" s="20"/>
      <c r="T16" s="28"/>
      <c r="U16" s="28" t="str">
        <f>T11</f>
        <v>Stufe 2</v>
      </c>
      <c r="V16" s="229"/>
    </row>
    <row r="17" spans="2:22" ht="15" thickBot="1" x14ac:dyDescent="0.35">
      <c r="C17" s="25"/>
      <c r="D17" s="26"/>
      <c r="E17" s="47" t="s">
        <v>65</v>
      </c>
      <c r="F17" s="47" t="s">
        <v>66</v>
      </c>
      <c r="H17" s="25"/>
      <c r="I17" s="26"/>
      <c r="J17" s="47" t="s">
        <v>65</v>
      </c>
      <c r="K17" s="47" t="s">
        <v>66</v>
      </c>
      <c r="L17" s="229"/>
      <c r="M17" s="25"/>
      <c r="N17" s="26"/>
      <c r="O17" s="47" t="s">
        <v>65</v>
      </c>
      <c r="P17" s="47" t="s">
        <v>66</v>
      </c>
      <c r="Q17" s="229"/>
      <c r="R17" s="25"/>
      <c r="S17" s="26"/>
      <c r="T17" s="47" t="s">
        <v>65</v>
      </c>
      <c r="U17" s="47" t="s">
        <v>66</v>
      </c>
      <c r="V17" s="229"/>
    </row>
    <row r="18" spans="2:22" x14ac:dyDescent="0.3">
      <c r="C18" s="44" t="s">
        <v>41</v>
      </c>
      <c r="D18" s="45"/>
      <c r="E18" s="46"/>
      <c r="F18" s="30">
        <f>INDEX('Quelle '!A5:H26,MATCH(Standard!C11,'Quelle '!A5:A26,0),MATCH(E11,'Quelle '!A6:G6))*Standard!D6</f>
        <v>4619.2</v>
      </c>
      <c r="H18" s="44" t="s">
        <v>41</v>
      </c>
      <c r="I18" s="45"/>
      <c r="J18" s="46"/>
      <c r="K18" s="30">
        <f>INDEX('Quelle '!A33:G53,MATCH(Standard!H11,'Quelle '!A33:A53,0),MATCH(J11,'Quelle '!A33:G33))*D6</f>
        <v>4516.8383999999996</v>
      </c>
      <c r="L18" s="229"/>
      <c r="M18" s="44" t="s">
        <v>41</v>
      </c>
      <c r="N18" s="45"/>
      <c r="O18" s="46"/>
      <c r="P18" s="30">
        <f>INDEX('Quelle '!A60:G80,MATCH(Standard!M11,'Quelle '!A60:A80,0),MATCH(O11,'Quelle '!A60:G60))*D6</f>
        <v>4652.3435519999994</v>
      </c>
      <c r="Q18" s="229"/>
      <c r="R18" s="44" t="s">
        <v>41</v>
      </c>
      <c r="S18" s="45"/>
      <c r="T18" s="46"/>
      <c r="U18" s="271">
        <f>INDEX('Quelle '!A87:G107,MATCH(Standard!R11,'Quelle '!A87:A107,0),MATCH(T11,'Quelle '!A87:G87))*D6</f>
        <v>4791.9138585599994</v>
      </c>
      <c r="V18" s="229"/>
    </row>
    <row r="19" spans="2:22" x14ac:dyDescent="0.3">
      <c r="C19" s="33" t="s">
        <v>57</v>
      </c>
      <c r="D19" s="33"/>
      <c r="E19" s="36">
        <f>E44</f>
        <v>0.22794999999999999</v>
      </c>
      <c r="F19" s="34">
        <f>F44</f>
        <v>1052.9466399999999</v>
      </c>
      <c r="H19" s="33" t="s">
        <v>57</v>
      </c>
      <c r="I19" s="33"/>
      <c r="J19" s="36">
        <f>J44</f>
        <v>0.22794999999999999</v>
      </c>
      <c r="K19" s="34">
        <f>K44</f>
        <v>1029.6133132799998</v>
      </c>
      <c r="L19" s="229"/>
      <c r="M19" s="33" t="s">
        <v>57</v>
      </c>
      <c r="N19" s="33"/>
      <c r="O19" s="36">
        <f>O44</f>
        <v>0.22794999999999999</v>
      </c>
      <c r="P19" s="34">
        <f>P44</f>
        <v>1060.5017126783998</v>
      </c>
      <c r="Q19" s="229"/>
      <c r="R19" s="33" t="s">
        <v>57</v>
      </c>
      <c r="S19" s="33"/>
      <c r="T19" s="36">
        <f>T44</f>
        <v>0.22794999999999999</v>
      </c>
      <c r="U19" s="34">
        <f>U44</f>
        <v>1092.3167640587519</v>
      </c>
      <c r="V19" s="229"/>
    </row>
    <row r="20" spans="2:22" x14ac:dyDescent="0.3">
      <c r="C20" s="33" t="s">
        <v>42</v>
      </c>
      <c r="D20" s="33"/>
      <c r="E20" s="36">
        <v>6.4500000000000002E-2</v>
      </c>
      <c r="F20" s="34">
        <f>E20*F18</f>
        <v>297.9384</v>
      </c>
      <c r="H20" s="33" t="s">
        <v>42</v>
      </c>
      <c r="I20" s="33"/>
      <c r="J20" s="36">
        <v>6.4500000000000002E-2</v>
      </c>
      <c r="K20" s="34">
        <f>J20*K18</f>
        <v>291.3360768</v>
      </c>
      <c r="L20" s="229"/>
      <c r="M20" s="33" t="s">
        <v>42</v>
      </c>
      <c r="N20" s="33"/>
      <c r="O20" s="36">
        <v>6.4500000000000002E-2</v>
      </c>
      <c r="P20" s="34">
        <f>O20*P18</f>
        <v>300.07615910399994</v>
      </c>
      <c r="Q20" s="229"/>
      <c r="R20" s="33" t="s">
        <v>42</v>
      </c>
      <c r="S20" s="33"/>
      <c r="T20" s="36">
        <v>6.4500000000000002E-2</v>
      </c>
      <c r="U20" s="34">
        <f>T20*U18</f>
        <v>309.07844387711998</v>
      </c>
      <c r="V20" s="229"/>
    </row>
    <row r="21" spans="2:22" x14ac:dyDescent="0.3">
      <c r="C21" s="33" t="s">
        <v>58</v>
      </c>
      <c r="D21" s="33"/>
      <c r="E21" s="33"/>
      <c r="F21" s="34">
        <v>6.65</v>
      </c>
      <c r="H21" s="33" t="s">
        <v>58</v>
      </c>
      <c r="I21" s="33"/>
      <c r="J21" s="33"/>
      <c r="K21" s="34">
        <v>6.65</v>
      </c>
      <c r="L21" s="229"/>
      <c r="M21" s="33" t="s">
        <v>58</v>
      </c>
      <c r="N21" s="33"/>
      <c r="O21" s="33"/>
      <c r="P21" s="34">
        <v>6.65</v>
      </c>
      <c r="Q21" s="229"/>
      <c r="R21" s="33" t="s">
        <v>58</v>
      </c>
      <c r="S21" s="33"/>
      <c r="T21" s="33"/>
      <c r="U21" s="34">
        <v>6.65</v>
      </c>
      <c r="V21" s="229"/>
    </row>
    <row r="22" spans="2:22" x14ac:dyDescent="0.3">
      <c r="C22" s="33" t="s">
        <v>43</v>
      </c>
      <c r="D22" s="33"/>
      <c r="E22" s="33"/>
      <c r="F22" s="34">
        <v>21.05</v>
      </c>
      <c r="H22" s="33" t="s">
        <v>43</v>
      </c>
      <c r="I22" s="33"/>
      <c r="J22" s="33"/>
      <c r="K22" s="34">
        <v>21.05</v>
      </c>
      <c r="L22" s="229"/>
      <c r="M22" s="33" t="s">
        <v>43</v>
      </c>
      <c r="N22" s="33"/>
      <c r="O22" s="33"/>
      <c r="P22" s="34">
        <v>21.05</v>
      </c>
      <c r="Q22" s="229"/>
      <c r="R22" s="33" t="s">
        <v>43</v>
      </c>
      <c r="S22" s="33"/>
      <c r="T22" s="33"/>
      <c r="U22" s="34">
        <v>21.05</v>
      </c>
      <c r="V22" s="229"/>
    </row>
    <row r="23" spans="2:22" x14ac:dyDescent="0.3">
      <c r="B23" s="136"/>
      <c r="C23" s="16" t="s">
        <v>59</v>
      </c>
      <c r="D23" s="16"/>
      <c r="E23" s="16"/>
      <c r="F23" s="50">
        <f>SUM(F18:F22)</f>
        <v>5997.7850399999998</v>
      </c>
      <c r="G23" s="136"/>
      <c r="H23" s="16" t="s">
        <v>59</v>
      </c>
      <c r="I23" s="16"/>
      <c r="J23" s="16"/>
      <c r="K23" s="50">
        <f>SUM(K18:K22)</f>
        <v>5865.4877900799993</v>
      </c>
      <c r="L23" s="229"/>
      <c r="M23" s="16" t="s">
        <v>59</v>
      </c>
      <c r="N23" s="16"/>
      <c r="O23" s="16"/>
      <c r="P23" s="50">
        <f>SUM(P18:P22)</f>
        <v>6040.6214237823988</v>
      </c>
      <c r="Q23" s="229"/>
      <c r="R23" s="16" t="s">
        <v>59</v>
      </c>
      <c r="S23" s="16"/>
      <c r="T23" s="16"/>
      <c r="U23" s="50">
        <f>SUM(U18:U22)</f>
        <v>6221.0090664958707</v>
      </c>
      <c r="V23" s="229"/>
    </row>
    <row r="24" spans="2:22" ht="15" thickBot="1" x14ac:dyDescent="0.35">
      <c r="B24" s="136"/>
      <c r="C24" s="41" t="s">
        <v>154</v>
      </c>
      <c r="D24" s="41"/>
      <c r="E24" s="42">
        <f>VLOOKUP(C11,'Quelle '!A5:H26,8,)*100</f>
        <v>46.471000000000004</v>
      </c>
      <c r="F24" s="43">
        <f>F23*E24/100</f>
        <v>2787.2306859383998</v>
      </c>
      <c r="G24" s="136"/>
      <c r="H24" s="41" t="s">
        <v>154</v>
      </c>
      <c r="I24" s="41"/>
      <c r="J24" s="42">
        <f>VLOOKUP(H11,'Quelle '!A33:H53,8,)*100</f>
        <v>46.471000000000004</v>
      </c>
      <c r="K24" s="43">
        <f>K23*J24/100</f>
        <v>2725.7508309280765</v>
      </c>
      <c r="L24" s="229"/>
      <c r="M24" s="41" t="s">
        <v>154</v>
      </c>
      <c r="N24" s="41"/>
      <c r="O24" s="42">
        <f>VLOOKUP(M11,'Quelle '!A60:H80,8,)*100</f>
        <v>46.471000000000004</v>
      </c>
      <c r="P24" s="43">
        <f>P23*O24/100</f>
        <v>2807.1371818459183</v>
      </c>
      <c r="Q24" s="229"/>
      <c r="R24" s="41" t="s">
        <v>154</v>
      </c>
      <c r="S24" s="41"/>
      <c r="T24" s="42">
        <f>VLOOKUP(R11,'Quelle '!A87:H107,8,)*100</f>
        <v>46.471000000000004</v>
      </c>
      <c r="U24" s="43">
        <f>U23*T24/100</f>
        <v>2890.9651232912961</v>
      </c>
      <c r="V24" s="229"/>
    </row>
    <row r="25" spans="2:22" ht="15" thickBot="1" x14ac:dyDescent="0.35">
      <c r="C25" s="175" t="s">
        <v>155</v>
      </c>
      <c r="D25" s="176"/>
      <c r="E25" s="177"/>
      <c r="F25" s="161">
        <f>F24/12</f>
        <v>232.26922382819998</v>
      </c>
      <c r="H25" s="175" t="s">
        <v>155</v>
      </c>
      <c r="I25" s="176"/>
      <c r="J25" s="177"/>
      <c r="K25" s="161">
        <f>K24/12</f>
        <v>227.14590257733971</v>
      </c>
      <c r="M25" s="175" t="s">
        <v>155</v>
      </c>
      <c r="N25" s="176"/>
      <c r="O25" s="177"/>
      <c r="P25" s="161">
        <f>P24/12</f>
        <v>233.92809848715987</v>
      </c>
      <c r="R25" s="175" t="s">
        <v>155</v>
      </c>
      <c r="S25" s="176"/>
      <c r="T25" s="177"/>
      <c r="U25" s="161">
        <f>U24/12</f>
        <v>240.91376027427467</v>
      </c>
    </row>
    <row r="26" spans="2:22" ht="15" thickBot="1" x14ac:dyDescent="0.35">
      <c r="C26" s="313" t="s">
        <v>71</v>
      </c>
      <c r="D26" s="314"/>
      <c r="E26" s="315"/>
      <c r="F26" s="31">
        <f>F34+F35</f>
        <v>45.309485555114172</v>
      </c>
      <c r="H26" s="212" t="s">
        <v>71</v>
      </c>
      <c r="I26" s="213"/>
      <c r="J26" s="214"/>
      <c r="K26" s="31">
        <f>K34+K35</f>
        <v>44.310063219326103</v>
      </c>
      <c r="M26" s="233" t="s">
        <v>71</v>
      </c>
      <c r="N26" s="234"/>
      <c r="O26" s="235"/>
      <c r="P26" s="31">
        <f>P34+P35</f>
        <v>45.633087434687702</v>
      </c>
      <c r="R26" s="233" t="s">
        <v>71</v>
      </c>
      <c r="S26" s="234"/>
      <c r="T26" s="235"/>
      <c r="U26" s="31">
        <f>U34+U35</f>
        <v>46.995802376510149</v>
      </c>
    </row>
    <row r="27" spans="2:22" ht="15" thickBot="1" x14ac:dyDescent="0.35">
      <c r="C27" s="304" t="s">
        <v>60</v>
      </c>
      <c r="D27" s="305"/>
      <c r="E27" s="306"/>
      <c r="F27" s="51">
        <f>F23+(F24/12)</f>
        <v>6230.0542638281995</v>
      </c>
      <c r="H27" s="201" t="s">
        <v>60</v>
      </c>
      <c r="I27" s="202"/>
      <c r="J27" s="203"/>
      <c r="K27" s="51">
        <f>K23+(K24/12)</f>
        <v>6092.6336926573385</v>
      </c>
      <c r="M27" s="223" t="s">
        <v>60</v>
      </c>
      <c r="N27" s="224"/>
      <c r="O27" s="225"/>
      <c r="P27" s="51">
        <f>P23+(P24/12)</f>
        <v>6274.549522269559</v>
      </c>
      <c r="R27" s="223" t="s">
        <v>60</v>
      </c>
      <c r="S27" s="224"/>
      <c r="T27" s="225"/>
      <c r="U27" s="51">
        <f>U23+(U24/12)</f>
        <v>6461.9228267701455</v>
      </c>
    </row>
    <row r="28" spans="2:22" ht="15" thickBot="1" x14ac:dyDescent="0.35">
      <c r="C28" s="304" t="s">
        <v>61</v>
      </c>
      <c r="D28" s="305"/>
      <c r="E28" s="306"/>
      <c r="F28" s="52">
        <f>(F23*12)+F24</f>
        <v>74760.651165938398</v>
      </c>
      <c r="H28" s="201" t="s">
        <v>61</v>
      </c>
      <c r="I28" s="202"/>
      <c r="J28" s="203"/>
      <c r="K28" s="52">
        <f>(K23*12)+K24</f>
        <v>73111.604311888077</v>
      </c>
      <c r="M28" s="223" t="s">
        <v>61</v>
      </c>
      <c r="N28" s="224"/>
      <c r="O28" s="225"/>
      <c r="P28" s="52">
        <f>(P23*12)+P24</f>
        <v>75294.594267234701</v>
      </c>
      <c r="R28" s="223" t="s">
        <v>61</v>
      </c>
      <c r="S28" s="224"/>
      <c r="T28" s="225"/>
      <c r="U28" s="52">
        <f>(U23*12)+U24</f>
        <v>77543.073921241754</v>
      </c>
    </row>
    <row r="29" spans="2:22" x14ac:dyDescent="0.3">
      <c r="C29" s="307"/>
      <c r="D29" s="308"/>
      <c r="E29" s="308"/>
      <c r="F29" s="309"/>
      <c r="G29" s="136"/>
      <c r="H29" s="207"/>
      <c r="I29" s="208"/>
      <c r="J29" s="208"/>
      <c r="K29" s="209"/>
      <c r="M29" s="226"/>
      <c r="N29" s="227"/>
      <c r="O29" s="227"/>
      <c r="P29" s="228"/>
      <c r="R29" s="226"/>
      <c r="S29" s="227"/>
      <c r="T29" s="227"/>
      <c r="U29" s="228"/>
    </row>
    <row r="30" spans="2:22" x14ac:dyDescent="0.3">
      <c r="C30" s="40" t="s">
        <v>62</v>
      </c>
      <c r="D30" s="40"/>
      <c r="E30" s="40"/>
      <c r="F30" s="239">
        <f>(F18*12)+F18*E24/100</f>
        <v>57576.988431999991</v>
      </c>
      <c r="G30" s="136"/>
      <c r="H30" s="40" t="s">
        <v>62</v>
      </c>
      <c r="I30" s="40"/>
      <c r="J30" s="40"/>
      <c r="K30" s="239">
        <f>(K18*12)+K18*J24/100</f>
        <v>56301.080772863992</v>
      </c>
      <c r="M30" s="40" t="s">
        <v>62</v>
      </c>
      <c r="N30" s="40"/>
      <c r="O30" s="40"/>
      <c r="P30" s="239">
        <f>(P18*12)+P18*O24/100</f>
        <v>57990.113196049919</v>
      </c>
      <c r="R30" s="40" t="s">
        <v>62</v>
      </c>
      <c r="S30" s="40"/>
      <c r="T30" s="40"/>
      <c r="U30" s="239">
        <f>(U18*12)+U18*T24/100</f>
        <v>59729.816591931412</v>
      </c>
    </row>
    <row r="31" spans="2:22" x14ac:dyDescent="0.3">
      <c r="C31" s="33" t="s">
        <v>63</v>
      </c>
      <c r="D31" s="33"/>
      <c r="E31" s="33"/>
      <c r="F31" s="34">
        <f>(SUM(F19:F22)*12)+(SUM(F19:F22)*E24/100)</f>
        <v>17183.662733938399</v>
      </c>
      <c r="H31" s="33" t="s">
        <v>63</v>
      </c>
      <c r="I31" s="33"/>
      <c r="J31" s="33"/>
      <c r="K31" s="34">
        <f>(SUM(K19:K22)*12)+(SUM(K19:K22)*J24/100)</f>
        <v>16810.523539024078</v>
      </c>
      <c r="M31" s="33" t="s">
        <v>63</v>
      </c>
      <c r="N31" s="33"/>
      <c r="O31" s="33"/>
      <c r="P31" s="34">
        <f>(SUM(P19:P22)*12)+(SUM(P19:P22)*O24/100)</f>
        <v>17304.481071184797</v>
      </c>
      <c r="R31" s="33" t="s">
        <v>63</v>
      </c>
      <c r="S31" s="33"/>
      <c r="T31" s="33"/>
      <c r="U31" s="34">
        <f>(SUM(U19:U22)*12)+(SUM(U19:U22)*T24/100)</f>
        <v>17813.257329310341</v>
      </c>
    </row>
    <row r="32" spans="2:22" x14ac:dyDescent="0.3">
      <c r="C32" s="33" t="s">
        <v>67</v>
      </c>
      <c r="D32" s="33"/>
      <c r="E32" s="33"/>
      <c r="F32" s="34">
        <f>F30/12</f>
        <v>4798.0823693333323</v>
      </c>
      <c r="H32" s="33" t="s">
        <v>67</v>
      </c>
      <c r="I32" s="33"/>
      <c r="J32" s="33"/>
      <c r="K32" s="34">
        <f>K30/12</f>
        <v>4691.7567310719996</v>
      </c>
      <c r="M32" s="33" t="s">
        <v>67</v>
      </c>
      <c r="N32" s="33"/>
      <c r="O32" s="33"/>
      <c r="P32" s="34">
        <f>P30/12</f>
        <v>4832.5094330041602</v>
      </c>
      <c r="R32" s="33" t="s">
        <v>67</v>
      </c>
      <c r="S32" s="33"/>
      <c r="T32" s="33"/>
      <c r="U32" s="34">
        <f>U30/12</f>
        <v>4977.4847159942847</v>
      </c>
    </row>
    <row r="33" spans="2:21" x14ac:dyDescent="0.3">
      <c r="C33" s="33" t="s">
        <v>68</v>
      </c>
      <c r="D33" s="33"/>
      <c r="E33" s="33"/>
      <c r="F33" s="34">
        <f>F31/12</f>
        <v>1431.9718944948665</v>
      </c>
      <c r="H33" s="33" t="s">
        <v>68</v>
      </c>
      <c r="I33" s="33"/>
      <c r="J33" s="33"/>
      <c r="K33" s="34">
        <f>K31/12</f>
        <v>1400.8769615853398</v>
      </c>
      <c r="M33" s="33" t="s">
        <v>68</v>
      </c>
      <c r="N33" s="33"/>
      <c r="O33" s="33"/>
      <c r="P33" s="34">
        <f>P31/12</f>
        <v>1442.0400892653997</v>
      </c>
      <c r="R33" s="33" t="s">
        <v>68</v>
      </c>
      <c r="S33" s="33"/>
      <c r="T33" s="33"/>
      <c r="U33" s="34">
        <f>U31/12</f>
        <v>1484.4381107758618</v>
      </c>
    </row>
    <row r="34" spans="2:21" x14ac:dyDescent="0.3">
      <c r="C34" s="33" t="s">
        <v>69</v>
      </c>
      <c r="D34" s="33"/>
      <c r="E34" s="33"/>
      <c r="F34" s="34">
        <f>F30/('Quelle '!$R$4*$D$6)</f>
        <v>34.895144504242417</v>
      </c>
      <c r="H34" s="33" t="s">
        <v>69</v>
      </c>
      <c r="I34" s="33"/>
      <c r="J34" s="33"/>
      <c r="K34" s="34">
        <f>K30/('Quelle '!$R$4*$D$6)</f>
        <v>34.121867135069088</v>
      </c>
      <c r="M34" s="33" t="s">
        <v>69</v>
      </c>
      <c r="N34" s="33"/>
      <c r="O34" s="33"/>
      <c r="P34" s="34">
        <f>P30/('Quelle '!$R$4*$D$6)</f>
        <v>35.145523149121161</v>
      </c>
      <c r="R34" s="33" t="s">
        <v>69</v>
      </c>
      <c r="S34" s="33"/>
      <c r="T34" s="33"/>
      <c r="U34" s="34">
        <f>U30/('Quelle '!$R$4*$D$6)</f>
        <v>36.199888843594792</v>
      </c>
    </row>
    <row r="35" spans="2:21" x14ac:dyDescent="0.3">
      <c r="C35" s="33" t="s">
        <v>70</v>
      </c>
      <c r="D35" s="33"/>
      <c r="E35" s="33"/>
      <c r="F35" s="34">
        <f>F31/('Quelle '!$R$4*D6)</f>
        <v>10.414341050871757</v>
      </c>
      <c r="H35" s="33" t="s">
        <v>70</v>
      </c>
      <c r="I35" s="33"/>
      <c r="J35" s="33"/>
      <c r="K35" s="34">
        <f>K31/('Quelle '!$R$4*D6)</f>
        <v>10.188196084257017</v>
      </c>
      <c r="M35" s="33" t="s">
        <v>70</v>
      </c>
      <c r="N35" s="33"/>
      <c r="O35" s="33"/>
      <c r="P35" s="34">
        <f>P31/('Quelle '!R4*D6)</f>
        <v>10.487564285566544</v>
      </c>
      <c r="R35" s="33" t="s">
        <v>70</v>
      </c>
      <c r="S35" s="33"/>
      <c r="T35" s="33"/>
      <c r="U35" s="34">
        <f>U31/('Quelle '!$R$4*$D$6)</f>
        <v>10.795913532915359</v>
      </c>
    </row>
    <row r="36" spans="2:21" x14ac:dyDescent="0.3">
      <c r="B36" s="136"/>
      <c r="C36" s="310"/>
      <c r="D36" s="301"/>
      <c r="E36" s="301"/>
      <c r="F36" s="302"/>
      <c r="H36" s="204"/>
      <c r="I36" s="205"/>
      <c r="J36" s="205"/>
      <c r="K36" s="206"/>
      <c r="M36" s="230"/>
      <c r="N36" s="221"/>
      <c r="O36" s="221"/>
      <c r="P36" s="222"/>
      <c r="R36" s="230"/>
      <c r="S36" s="221"/>
      <c r="T36" s="221"/>
      <c r="U36" s="222"/>
    </row>
    <row r="37" spans="2:21" x14ac:dyDescent="0.3">
      <c r="C37" s="35" t="s">
        <v>49</v>
      </c>
      <c r="D37" s="33"/>
      <c r="E37" s="33"/>
      <c r="F37" s="33"/>
      <c r="H37" s="35" t="s">
        <v>49</v>
      </c>
      <c r="I37" s="33"/>
      <c r="J37" s="33"/>
      <c r="K37" s="33"/>
      <c r="M37" s="35" t="s">
        <v>49</v>
      </c>
      <c r="N37" s="33"/>
      <c r="O37" s="33"/>
      <c r="P37" s="33"/>
      <c r="R37" s="35" t="s">
        <v>49</v>
      </c>
      <c r="S37" s="33"/>
      <c r="T37" s="33"/>
      <c r="U37" s="33"/>
    </row>
    <row r="38" spans="2:21" x14ac:dyDescent="0.3">
      <c r="C38" s="33" t="s">
        <v>50</v>
      </c>
      <c r="D38" s="33"/>
      <c r="E38" s="36">
        <f>'Quelle '!$S$21</f>
        <v>9.2999999999999999E-2</v>
      </c>
      <c r="F38" s="34">
        <f>E38*F18</f>
        <v>429.5856</v>
      </c>
      <c r="H38" s="33" t="s">
        <v>50</v>
      </c>
      <c r="I38" s="33"/>
      <c r="J38" s="36">
        <f>'Quelle '!$S$21</f>
        <v>9.2999999999999999E-2</v>
      </c>
      <c r="K38" s="34">
        <f>J38*K18</f>
        <v>420.06597119999998</v>
      </c>
      <c r="M38" s="33" t="s">
        <v>50</v>
      </c>
      <c r="N38" s="33"/>
      <c r="O38" s="36">
        <f>'Quelle '!$S$21</f>
        <v>9.2999999999999999E-2</v>
      </c>
      <c r="P38" s="34">
        <f>O38*P18</f>
        <v>432.66795033599993</v>
      </c>
      <c r="R38" s="33" t="s">
        <v>50</v>
      </c>
      <c r="S38" s="33"/>
      <c r="T38" s="36">
        <f>'Quelle '!$S$21</f>
        <v>9.2999999999999999E-2</v>
      </c>
      <c r="U38" s="34">
        <f>T38*U18</f>
        <v>445.64798884607995</v>
      </c>
    </row>
    <row r="39" spans="2:21" x14ac:dyDescent="0.3">
      <c r="C39" s="33" t="s">
        <v>51</v>
      </c>
      <c r="D39" s="33"/>
      <c r="E39" s="36">
        <f>'Quelle '!$S$22</f>
        <v>1.2E-2</v>
      </c>
      <c r="F39" s="34">
        <f>E39*F18</f>
        <v>55.430399999999999</v>
      </c>
      <c r="H39" s="33" t="s">
        <v>51</v>
      </c>
      <c r="I39" s="33"/>
      <c r="J39" s="36">
        <f>'Quelle '!$S$22</f>
        <v>1.2E-2</v>
      </c>
      <c r="K39" s="34">
        <f>J39*K18</f>
        <v>54.202060799999998</v>
      </c>
      <c r="M39" s="33" t="s">
        <v>51</v>
      </c>
      <c r="N39" s="33"/>
      <c r="O39" s="36">
        <f>'Quelle '!$S$22</f>
        <v>1.2E-2</v>
      </c>
      <c r="P39" s="34">
        <f>O39*P18</f>
        <v>55.828122623999995</v>
      </c>
      <c r="R39" s="33" t="s">
        <v>51</v>
      </c>
      <c r="S39" s="33"/>
      <c r="T39" s="36">
        <f>'Quelle '!$S$22</f>
        <v>1.2E-2</v>
      </c>
      <c r="U39" s="34">
        <f>T39*U18</f>
        <v>57.502966302719997</v>
      </c>
    </row>
    <row r="40" spans="2:21" x14ac:dyDescent="0.3">
      <c r="C40" s="33" t="s">
        <v>52</v>
      </c>
      <c r="D40" s="33"/>
      <c r="E40" s="36">
        <f>'Quelle '!$S$23</f>
        <v>7.9000000000000001E-2</v>
      </c>
      <c r="F40" s="34">
        <f>E40*F18</f>
        <v>364.91679999999997</v>
      </c>
      <c r="H40" s="33" t="s">
        <v>52</v>
      </c>
      <c r="I40" s="33"/>
      <c r="J40" s="36">
        <f>'Quelle '!$S$23</f>
        <v>7.9000000000000001E-2</v>
      </c>
      <c r="K40" s="34">
        <f>J40*K18</f>
        <v>356.83023359999999</v>
      </c>
      <c r="M40" s="33" t="s">
        <v>52</v>
      </c>
      <c r="N40" s="33"/>
      <c r="O40" s="36">
        <f>'Quelle '!$S$23</f>
        <v>7.9000000000000001E-2</v>
      </c>
      <c r="P40" s="34">
        <f>O40*P18</f>
        <v>367.53514060799995</v>
      </c>
      <c r="R40" s="33" t="s">
        <v>52</v>
      </c>
      <c r="S40" s="33"/>
      <c r="T40" s="36">
        <f>'Quelle '!$S$23</f>
        <v>7.9000000000000001E-2</v>
      </c>
      <c r="U40" s="34">
        <f>T40*U18</f>
        <v>378.56119482623996</v>
      </c>
    </row>
    <row r="41" spans="2:21" x14ac:dyDescent="0.3">
      <c r="C41" s="33" t="s">
        <v>53</v>
      </c>
      <c r="D41" s="33"/>
      <c r="E41" s="36">
        <f>'Quelle '!$S$24</f>
        <v>1.525E-2</v>
      </c>
      <c r="F41" s="34">
        <f>E41*F18</f>
        <v>70.442799999999991</v>
      </c>
      <c r="H41" s="33" t="s">
        <v>53</v>
      </c>
      <c r="I41" s="33"/>
      <c r="J41" s="36">
        <f>'Quelle '!$S$24</f>
        <v>1.525E-2</v>
      </c>
      <c r="K41" s="34">
        <f>J41*K18</f>
        <v>68.881785599999986</v>
      </c>
      <c r="M41" s="33" t="s">
        <v>53</v>
      </c>
      <c r="N41" s="33"/>
      <c r="O41" s="36">
        <f>'Quelle '!$S$24</f>
        <v>1.525E-2</v>
      </c>
      <c r="P41" s="34">
        <f>O41*P18</f>
        <v>70.948239167999986</v>
      </c>
      <c r="R41" s="33" t="s">
        <v>53</v>
      </c>
      <c r="S41" s="33"/>
      <c r="T41" s="36">
        <f>'Quelle '!$S$24</f>
        <v>1.525E-2</v>
      </c>
      <c r="U41" s="34">
        <f>T41*U18</f>
        <v>73.076686343039995</v>
      </c>
    </row>
    <row r="42" spans="2:21" x14ac:dyDescent="0.3">
      <c r="C42" s="33" t="s">
        <v>185</v>
      </c>
      <c r="D42" s="33"/>
      <c r="E42" s="36">
        <f>'Quelle '!$S$25</f>
        <v>2.75E-2</v>
      </c>
      <c r="F42" s="34">
        <f>E42*F18</f>
        <v>127.02799999999999</v>
      </c>
      <c r="H42" s="33" t="s">
        <v>185</v>
      </c>
      <c r="I42" s="33"/>
      <c r="J42" s="36">
        <f>'Quelle '!$S$25</f>
        <v>2.75E-2</v>
      </c>
      <c r="K42" s="34">
        <f>J42*K18</f>
        <v>124.21305599999999</v>
      </c>
      <c r="M42" s="33" t="s">
        <v>185</v>
      </c>
      <c r="N42" s="33"/>
      <c r="O42" s="36">
        <f>'Quelle '!$S$25</f>
        <v>2.75E-2</v>
      </c>
      <c r="P42" s="34">
        <f>O42*P18</f>
        <v>127.93944767999999</v>
      </c>
      <c r="R42" s="33" t="s">
        <v>185</v>
      </c>
      <c r="S42" s="33"/>
      <c r="T42" s="36">
        <f>'Quelle '!$S$25</f>
        <v>2.75E-2</v>
      </c>
      <c r="U42" s="34">
        <f>T42*U18</f>
        <v>131.77763111039999</v>
      </c>
    </row>
    <row r="43" spans="2:21" x14ac:dyDescent="0.3">
      <c r="C43" s="37" t="s">
        <v>55</v>
      </c>
      <c r="D43" s="33"/>
      <c r="E43" s="36">
        <f>'Quelle '!$S$26</f>
        <v>1.1999999999999999E-3</v>
      </c>
      <c r="F43" s="34">
        <f>E43*F18</f>
        <v>5.5430399999999995</v>
      </c>
      <c r="H43" s="37" t="s">
        <v>55</v>
      </c>
      <c r="I43" s="33"/>
      <c r="J43" s="36">
        <f>'Quelle '!$S$26</f>
        <v>1.1999999999999999E-3</v>
      </c>
      <c r="K43" s="34">
        <f>J43*K18</f>
        <v>5.4202060799999989</v>
      </c>
      <c r="M43" s="37" t="s">
        <v>55</v>
      </c>
      <c r="N43" s="33"/>
      <c r="O43" s="36">
        <f>'Quelle '!$S$26</f>
        <v>1.1999999999999999E-3</v>
      </c>
      <c r="P43" s="34">
        <f>O43*P18</f>
        <v>5.5828122623999992</v>
      </c>
      <c r="R43" s="37" t="s">
        <v>55</v>
      </c>
      <c r="S43" s="33"/>
      <c r="T43" s="36">
        <f>'Quelle '!$S$26</f>
        <v>1.1999999999999999E-3</v>
      </c>
      <c r="U43" s="34">
        <f>T43*U18</f>
        <v>5.7502966302719987</v>
      </c>
    </row>
    <row r="44" spans="2:21" x14ac:dyDescent="0.3">
      <c r="C44" s="38" t="s">
        <v>56</v>
      </c>
      <c r="D44" s="33"/>
      <c r="E44" s="36">
        <f>SUM(E38:E43)</f>
        <v>0.22794999999999999</v>
      </c>
      <c r="F44" s="39">
        <f>E44*F18</f>
        <v>1052.9466399999999</v>
      </c>
      <c r="H44" s="38" t="s">
        <v>56</v>
      </c>
      <c r="I44" s="33"/>
      <c r="J44" s="36">
        <f>SUM(J38:J43)</f>
        <v>0.22794999999999999</v>
      </c>
      <c r="K44" s="39">
        <f>J44*K18</f>
        <v>1029.6133132799998</v>
      </c>
      <c r="M44" s="38" t="s">
        <v>56</v>
      </c>
      <c r="N44" s="33"/>
      <c r="O44" s="36">
        <f>SUM(O38:O43)</f>
        <v>0.22794999999999999</v>
      </c>
      <c r="P44" s="39">
        <f>O44*P18</f>
        <v>1060.5017126783998</v>
      </c>
      <c r="R44" s="38" t="s">
        <v>56</v>
      </c>
      <c r="S44" s="33"/>
      <c r="T44" s="36">
        <f>SUM(T38:T43)</f>
        <v>0.22794999999999999</v>
      </c>
      <c r="U44" s="39">
        <f>T44*U18</f>
        <v>1092.3167640587519</v>
      </c>
    </row>
    <row r="47" spans="2:21" x14ac:dyDescent="0.3">
      <c r="C47" t="s">
        <v>45</v>
      </c>
    </row>
    <row r="48" spans="2:21" x14ac:dyDescent="0.3">
      <c r="C48" t="s">
        <v>46</v>
      </c>
    </row>
    <row r="49" spans="3:3" x14ac:dyDescent="0.3">
      <c r="C49" t="s">
        <v>47</v>
      </c>
    </row>
    <row r="50" spans="3:3" x14ac:dyDescent="0.3">
      <c r="C50" t="s">
        <v>48</v>
      </c>
    </row>
    <row r="51" spans="3:3" x14ac:dyDescent="0.3">
      <c r="C51" t="s">
        <v>189</v>
      </c>
    </row>
  </sheetData>
  <mergeCells count="14">
    <mergeCell ref="C27:E27"/>
    <mergeCell ref="C28:E28"/>
    <mergeCell ref="C29:F29"/>
    <mergeCell ref="C36:F36"/>
    <mergeCell ref="H11:I11"/>
    <mergeCell ref="H13:K13"/>
    <mergeCell ref="C11:D11"/>
    <mergeCell ref="C15:D15"/>
    <mergeCell ref="C26:E26"/>
    <mergeCell ref="M11:N11"/>
    <mergeCell ref="M13:P13"/>
    <mergeCell ref="R11:S11"/>
    <mergeCell ref="R13:U13"/>
    <mergeCell ref="K3:P7"/>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'Quelle '!$A$8:$A$26</xm:f>
          </x14:formula1>
          <xm:sqref>C11:D11</xm:sqref>
        </x14:dataValidation>
        <x14:dataValidation type="list" allowBlank="1" showInputMessage="1" showErrorMessage="1">
          <x14:formula1>
            <xm:f>'Quelle '!$B$6:$G$6</xm:f>
          </x14:formula1>
          <xm:sqref>E11</xm:sqref>
        </x14:dataValidation>
        <x14:dataValidation type="list" allowBlank="1" showInputMessage="1" showErrorMessage="1">
          <x14:formula1>
            <xm:f>'Quelle '!$A$35:$A$53</xm:f>
          </x14:formula1>
          <xm:sqref>H11</xm:sqref>
        </x14:dataValidation>
        <x14:dataValidation type="list" allowBlank="1" showInputMessage="1" showErrorMessage="1">
          <x14:formula1>
            <xm:f>'Quelle '!$A$35:$A$53</xm:f>
          </x14:formula1>
          <xm:sqref>M11</xm:sqref>
        </x14:dataValidation>
        <x14:dataValidation type="list" allowBlank="1" showInputMessage="1" showErrorMessage="1">
          <x14:formula1>
            <xm:f>'Quelle '!$A$35:$A$53</xm:f>
          </x14:formula1>
          <xm:sqref>R11</xm:sqref>
        </x14:dataValidation>
        <x14:dataValidation type="list" allowBlank="1" showInputMessage="1" showErrorMessage="1">
          <x14:formula1>
            <xm:f>'Quelle '!$B$33:$G$33</xm:f>
          </x14:formula1>
          <xm:sqref>J11</xm:sqref>
        </x14:dataValidation>
        <x14:dataValidation type="list" allowBlank="1" showInputMessage="1" showErrorMessage="1">
          <x14:formula1>
            <xm:f>'Quelle '!$B$33:$G$33</xm:f>
          </x14:formula1>
          <xm:sqref>O11</xm:sqref>
        </x14:dataValidation>
        <x14:dataValidation type="list" allowBlank="1" showInputMessage="1" showErrorMessage="1">
          <x14:formula1>
            <xm:f>'Quelle '!$B$33:$G$33</xm:f>
          </x14:formula1>
          <xm:sqref>T11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opLeftCell="G1" zoomScaleNormal="100" workbookViewId="0">
      <selection activeCell="G19" sqref="G19"/>
    </sheetView>
  </sheetViews>
  <sheetFormatPr baseColWidth="10" defaultRowHeight="14.4" x14ac:dyDescent="0.3"/>
  <cols>
    <col min="1" max="1" width="19" customWidth="1"/>
    <col min="2" max="2" width="4.44140625" customWidth="1"/>
    <col min="3" max="3" width="23.88671875" customWidth="1"/>
    <col min="4" max="4" width="15.88671875" customWidth="1"/>
    <col min="5" max="5" width="7.6640625" customWidth="1"/>
    <col min="6" max="6" width="14" customWidth="1"/>
    <col min="7" max="7" width="13.5546875" customWidth="1"/>
    <col min="9" max="9" width="20.109375" customWidth="1"/>
    <col min="10" max="10" width="9.5546875" bestFit="1" customWidth="1"/>
    <col min="11" max="11" width="15.6640625" customWidth="1"/>
    <col min="14" max="14" width="20.6640625" customWidth="1"/>
    <col min="15" max="15" width="10.44140625" customWidth="1"/>
    <col min="16" max="16" width="14.88671875" customWidth="1"/>
    <col min="19" max="19" width="20" customWidth="1"/>
  </cols>
  <sheetData>
    <row r="1" spans="1:21" ht="21" x14ac:dyDescent="0.4">
      <c r="A1" s="241" t="s">
        <v>192</v>
      </c>
      <c r="C1" s="3" t="s">
        <v>118</v>
      </c>
      <c r="G1" s="1" t="s">
        <v>124</v>
      </c>
    </row>
    <row r="2" spans="1:21" s="2" customFormat="1" ht="9" customHeight="1" thickBot="1" x14ac:dyDescent="0.45">
      <c r="A2" s="241"/>
      <c r="C2" s="56"/>
      <c r="G2" s="241"/>
    </row>
    <row r="3" spans="1:21" ht="21.75" customHeight="1" thickBot="1" x14ac:dyDescent="0.45">
      <c r="A3" s="1"/>
      <c r="C3" s="264" t="s">
        <v>113</v>
      </c>
      <c r="D3" s="265"/>
      <c r="E3" s="265"/>
      <c r="F3" s="265"/>
      <c r="G3" s="265"/>
      <c r="H3" s="265"/>
      <c r="I3" s="266"/>
      <c r="K3" s="325" t="s">
        <v>200</v>
      </c>
      <c r="L3" s="325"/>
      <c r="M3" s="325"/>
      <c r="N3" s="325"/>
      <c r="O3" s="325"/>
      <c r="P3" s="325"/>
      <c r="Q3" s="270"/>
      <c r="R3" s="270"/>
    </row>
    <row r="4" spans="1:21" ht="15" thickBot="1" x14ac:dyDescent="0.35">
      <c r="A4" s="1"/>
      <c r="C4" s="267" t="s">
        <v>151</v>
      </c>
      <c r="D4" s="268"/>
      <c r="E4" s="268"/>
      <c r="F4" s="268"/>
      <c r="G4" s="268"/>
      <c r="H4" s="268"/>
      <c r="I4" s="269"/>
      <c r="K4" s="325"/>
      <c r="L4" s="325"/>
      <c r="M4" s="325"/>
      <c r="N4" s="325"/>
      <c r="O4" s="325"/>
      <c r="P4" s="325"/>
      <c r="Q4" s="270"/>
      <c r="R4" s="270"/>
    </row>
    <row r="5" spans="1:21" ht="15" thickBot="1" x14ac:dyDescent="0.35">
      <c r="K5" s="325"/>
      <c r="L5" s="325"/>
      <c r="M5" s="325"/>
      <c r="N5" s="325"/>
      <c r="O5" s="325"/>
      <c r="P5" s="325"/>
      <c r="Q5" s="270"/>
      <c r="R5" s="270"/>
    </row>
    <row r="6" spans="1:21" ht="15" thickBot="1" x14ac:dyDescent="0.35">
      <c r="A6" s="1" t="s">
        <v>36</v>
      </c>
      <c r="C6" t="s">
        <v>37</v>
      </c>
      <c r="D6" s="18">
        <v>1</v>
      </c>
      <c r="G6" s="1"/>
      <c r="K6" s="325"/>
      <c r="L6" s="325"/>
      <c r="M6" s="325"/>
      <c r="N6" s="325"/>
      <c r="O6" s="325"/>
      <c r="P6" s="325"/>
      <c r="Q6" s="270"/>
      <c r="R6" s="270"/>
    </row>
    <row r="7" spans="1:21" x14ac:dyDescent="0.3">
      <c r="C7" t="s">
        <v>184</v>
      </c>
      <c r="K7" s="325"/>
      <c r="L7" s="325"/>
      <c r="M7" s="325"/>
      <c r="N7" s="325"/>
      <c r="O7" s="325"/>
      <c r="P7" s="325"/>
      <c r="Q7" s="270"/>
      <c r="R7" s="270"/>
    </row>
    <row r="9" spans="1:21" ht="15" thickBot="1" x14ac:dyDescent="0.35">
      <c r="C9" s="1" t="s">
        <v>9</v>
      </c>
      <c r="D9" s="1"/>
      <c r="E9" s="1" t="s">
        <v>38</v>
      </c>
      <c r="H9" s="1" t="s">
        <v>9</v>
      </c>
      <c r="I9" s="1"/>
      <c r="J9" s="1" t="s">
        <v>38</v>
      </c>
      <c r="M9" s="1" t="s">
        <v>9</v>
      </c>
      <c r="N9" s="1"/>
      <c r="O9" s="1" t="s">
        <v>38</v>
      </c>
      <c r="R9" s="1" t="s">
        <v>9</v>
      </c>
      <c r="S9" s="1"/>
      <c r="T9" s="1" t="s">
        <v>38</v>
      </c>
    </row>
    <row r="10" spans="1:21" ht="15" thickBot="1" x14ac:dyDescent="0.35">
      <c r="A10" s="1" t="s">
        <v>36</v>
      </c>
      <c r="C10" s="298" t="s">
        <v>19</v>
      </c>
      <c r="D10" s="299"/>
      <c r="E10" s="298" t="s">
        <v>3</v>
      </c>
      <c r="F10" s="299"/>
      <c r="H10" s="298" t="s">
        <v>19</v>
      </c>
      <c r="I10" s="316"/>
      <c r="J10" s="298" t="s">
        <v>3</v>
      </c>
      <c r="K10" s="299"/>
      <c r="M10" s="298" t="s">
        <v>19</v>
      </c>
      <c r="N10" s="316"/>
      <c r="O10" s="298" t="s">
        <v>3</v>
      </c>
      <c r="P10" s="299"/>
      <c r="R10" s="298" t="s">
        <v>19</v>
      </c>
      <c r="S10" s="316"/>
      <c r="T10" s="298" t="s">
        <v>3</v>
      </c>
      <c r="U10" s="299"/>
    </row>
    <row r="11" spans="1:21" ht="15" thickBot="1" x14ac:dyDescent="0.35"/>
    <row r="12" spans="1:21" ht="15" thickBot="1" x14ac:dyDescent="0.35">
      <c r="C12" s="317" t="s">
        <v>130</v>
      </c>
      <c r="D12" s="299"/>
      <c r="E12" s="318">
        <f>F27-F26-F45</f>
        <v>5674.4051359999994</v>
      </c>
      <c r="F12" s="299"/>
      <c r="H12" s="317" t="s">
        <v>130</v>
      </c>
      <c r="I12" s="299"/>
      <c r="J12" s="318">
        <f>K27-K26-K45</f>
        <v>5844.4377900799991</v>
      </c>
      <c r="K12" s="299"/>
      <c r="M12" s="317" t="s">
        <v>130</v>
      </c>
      <c r="N12" s="299"/>
      <c r="O12" s="318">
        <f>P27-P26-P45</f>
        <v>6019.5714237823986</v>
      </c>
      <c r="P12" s="299"/>
      <c r="R12" s="317" t="s">
        <v>130</v>
      </c>
      <c r="S12" s="299"/>
      <c r="T12" s="318">
        <f>U27-U26-U45</f>
        <v>6199.9590664958705</v>
      </c>
      <c r="U12" s="299"/>
    </row>
    <row r="13" spans="1:21" x14ac:dyDescent="0.3">
      <c r="B13" s="2"/>
      <c r="C13" s="54"/>
      <c r="D13" s="54"/>
      <c r="E13" s="54"/>
      <c r="F13" s="118"/>
      <c r="G13" s="2"/>
      <c r="H13" s="54"/>
      <c r="I13" s="54"/>
      <c r="J13" s="118"/>
      <c r="M13" s="238"/>
      <c r="N13" s="238"/>
      <c r="O13" s="118"/>
      <c r="R13" s="238"/>
      <c r="S13" s="238"/>
      <c r="T13" s="118"/>
    </row>
    <row r="14" spans="1:21" x14ac:dyDescent="0.3">
      <c r="B14" s="2"/>
      <c r="C14" s="54"/>
      <c r="D14" s="54"/>
      <c r="E14" s="54"/>
      <c r="F14" s="118"/>
      <c r="G14" s="2"/>
      <c r="H14" s="54"/>
      <c r="I14" s="54"/>
      <c r="J14" s="118"/>
      <c r="M14" s="238"/>
      <c r="N14" s="238"/>
      <c r="O14" s="118"/>
      <c r="R14" s="238"/>
      <c r="S14" s="238"/>
      <c r="T14" s="118"/>
    </row>
    <row r="15" spans="1:21" x14ac:dyDescent="0.3">
      <c r="C15" t="s">
        <v>131</v>
      </c>
    </row>
    <row r="17" spans="2:21" ht="21.6" thickBot="1" x14ac:dyDescent="0.45">
      <c r="C17" s="21"/>
      <c r="D17" s="22">
        <v>2021</v>
      </c>
      <c r="E17" s="23"/>
      <c r="F17" s="24"/>
      <c r="H17" s="319" t="s">
        <v>178</v>
      </c>
      <c r="I17" s="320"/>
      <c r="J17" s="320"/>
      <c r="K17" s="321"/>
      <c r="L17" s="236"/>
      <c r="M17" s="319" t="s">
        <v>198</v>
      </c>
      <c r="N17" s="320"/>
      <c r="O17" s="320"/>
      <c r="P17" s="321"/>
      <c r="R17" s="319" t="s">
        <v>199</v>
      </c>
      <c r="S17" s="320"/>
      <c r="T17" s="320"/>
      <c r="U17" s="321"/>
    </row>
    <row r="18" spans="2:21" x14ac:dyDescent="0.3">
      <c r="C18" s="19"/>
      <c r="D18" s="20"/>
      <c r="E18" s="27"/>
      <c r="F18" s="32" t="s">
        <v>44</v>
      </c>
      <c r="H18" s="19"/>
      <c r="I18" s="20"/>
      <c r="J18" s="27"/>
      <c r="K18" s="32" t="s">
        <v>44</v>
      </c>
      <c r="L18" s="236"/>
      <c r="M18" s="19"/>
      <c r="N18" s="20"/>
      <c r="O18" s="27"/>
      <c r="P18" s="32" t="s">
        <v>44</v>
      </c>
      <c r="R18" s="19"/>
      <c r="S18" s="20"/>
      <c r="T18" s="27"/>
      <c r="U18" s="32" t="s">
        <v>44</v>
      </c>
    </row>
    <row r="19" spans="2:21" x14ac:dyDescent="0.3">
      <c r="C19" s="311" t="s">
        <v>40</v>
      </c>
      <c r="D19" s="312"/>
      <c r="E19" s="29"/>
      <c r="F19" s="28" t="str">
        <f>C10</f>
        <v xml:space="preserve">E 13 </v>
      </c>
      <c r="H19" s="311" t="s">
        <v>40</v>
      </c>
      <c r="I19" s="312"/>
      <c r="J19" s="29"/>
      <c r="K19" s="28" t="str">
        <f>H10</f>
        <v xml:space="preserve">E 13 </v>
      </c>
      <c r="L19" s="236"/>
      <c r="M19" s="311" t="s">
        <v>40</v>
      </c>
      <c r="N19" s="312"/>
      <c r="O19" s="29"/>
      <c r="P19" s="28" t="str">
        <f>M10</f>
        <v xml:space="preserve">E 13 </v>
      </c>
      <c r="R19" s="311" t="s">
        <v>40</v>
      </c>
      <c r="S19" s="312"/>
      <c r="T19" s="29"/>
      <c r="U19" s="28" t="str">
        <f>R10</f>
        <v xml:space="preserve">E 13 </v>
      </c>
    </row>
    <row r="20" spans="2:21" x14ac:dyDescent="0.3">
      <c r="C20" s="19"/>
      <c r="D20" s="20"/>
      <c r="E20" s="28"/>
      <c r="F20" s="28" t="str">
        <f>E10</f>
        <v>Stufe 2</v>
      </c>
      <c r="H20" s="19"/>
      <c r="I20" s="20"/>
      <c r="J20" s="28"/>
      <c r="K20" s="28" t="str">
        <f>J10</f>
        <v>Stufe 2</v>
      </c>
      <c r="L20" s="236"/>
      <c r="M20" s="19"/>
      <c r="N20" s="20"/>
      <c r="O20" s="28"/>
      <c r="P20" s="28" t="str">
        <f>O10</f>
        <v>Stufe 2</v>
      </c>
      <c r="R20" s="19"/>
      <c r="S20" s="20"/>
      <c r="T20" s="28"/>
      <c r="U20" s="28" t="str">
        <f>T10</f>
        <v>Stufe 2</v>
      </c>
    </row>
    <row r="21" spans="2:21" ht="15" thickBot="1" x14ac:dyDescent="0.35">
      <c r="C21" s="25"/>
      <c r="D21" s="26"/>
      <c r="E21" s="47" t="s">
        <v>65</v>
      </c>
      <c r="F21" s="47" t="s">
        <v>66</v>
      </c>
      <c r="H21" s="25"/>
      <c r="I21" s="26"/>
      <c r="J21" s="47" t="s">
        <v>65</v>
      </c>
      <c r="K21" s="47" t="s">
        <v>66</v>
      </c>
      <c r="L21" s="236"/>
      <c r="M21" s="25"/>
      <c r="N21" s="26"/>
      <c r="O21" s="47" t="s">
        <v>65</v>
      </c>
      <c r="P21" s="47" t="s">
        <v>66</v>
      </c>
      <c r="R21" s="25"/>
      <c r="S21" s="26"/>
      <c r="T21" s="47" t="s">
        <v>65</v>
      </c>
      <c r="U21" s="47" t="s">
        <v>66</v>
      </c>
    </row>
    <row r="22" spans="2:21" x14ac:dyDescent="0.3">
      <c r="C22" s="44" t="s">
        <v>41</v>
      </c>
      <c r="D22" s="45"/>
      <c r="E22" s="46"/>
      <c r="F22" s="30">
        <f>INDEX('Quelle '!A5:H26,MATCH('AIF-IGF'!C10,'Quelle '!A5:A26,0),MATCH(E10,'Quelle '!A6:G6))*'AIF-IGF'!D6</f>
        <v>4385.28</v>
      </c>
      <c r="H22" s="44" t="s">
        <v>41</v>
      </c>
      <c r="I22" s="45"/>
      <c r="J22" s="46"/>
      <c r="K22" s="30">
        <f>INDEX('Quelle '!A33:G53,MATCH('AIF-IGF'!H10,'Quelle '!A33:A53,0),MATCH(J10,'Quelle '!A33:G33))*'AIF-IGF'!D6</f>
        <v>4516.8383999999996</v>
      </c>
      <c r="L22" s="236"/>
      <c r="M22" s="44" t="s">
        <v>41</v>
      </c>
      <c r="N22" s="45"/>
      <c r="O22" s="46"/>
      <c r="P22" s="271">
        <f>INDEX('Quelle '!A60:G80,MATCH('AIF-IGF'!M10,'Quelle '!A60:A80,0),MATCH(O10,'Quelle '!A60:G60))*'AIF-IGF'!D6</f>
        <v>4652.3435519999994</v>
      </c>
      <c r="R22" s="44" t="s">
        <v>41</v>
      </c>
      <c r="S22" s="45"/>
      <c r="T22" s="46"/>
      <c r="U22" s="271">
        <f>INDEX('Quelle '!A87:G107,MATCH('AIF-IGF'!R10,'Quelle '!A87:A107,0),MATCH(T10,'Quelle '!A87:G87))*'AIF-IGF'!D6</f>
        <v>4791.9138585599994</v>
      </c>
    </row>
    <row r="23" spans="2:21" x14ac:dyDescent="0.3">
      <c r="C23" s="33" t="s">
        <v>57</v>
      </c>
      <c r="D23" s="33"/>
      <c r="E23" s="36">
        <f>E47</f>
        <v>0.22794999999999999</v>
      </c>
      <c r="F23" s="34">
        <f>F47</f>
        <v>999.62457599999993</v>
      </c>
      <c r="H23" s="33" t="s">
        <v>57</v>
      </c>
      <c r="I23" s="33"/>
      <c r="J23" s="36">
        <f>J47</f>
        <v>0.22794999999999999</v>
      </c>
      <c r="K23" s="34">
        <f>K47</f>
        <v>1029.6133132799998</v>
      </c>
      <c r="L23" s="236"/>
      <c r="M23" s="33" t="s">
        <v>57</v>
      </c>
      <c r="N23" s="33"/>
      <c r="O23" s="36">
        <f>O47</f>
        <v>0.22794999999999999</v>
      </c>
      <c r="P23" s="34">
        <f>P47</f>
        <v>1060.5017126783998</v>
      </c>
      <c r="R23" s="33" t="s">
        <v>57</v>
      </c>
      <c r="S23" s="33"/>
      <c r="T23" s="36">
        <f>T47</f>
        <v>0.22794999999999999</v>
      </c>
      <c r="U23" s="34">
        <f>U47</f>
        <v>1092.3167640587519</v>
      </c>
    </row>
    <row r="24" spans="2:21" x14ac:dyDescent="0.3">
      <c r="C24" s="33" t="s">
        <v>42</v>
      </c>
      <c r="D24" s="33"/>
      <c r="E24" s="36">
        <v>6.4500000000000002E-2</v>
      </c>
      <c r="F24" s="34">
        <f>E24*F22</f>
        <v>282.85055999999997</v>
      </c>
      <c r="H24" s="33" t="s">
        <v>42</v>
      </c>
      <c r="I24" s="33"/>
      <c r="J24" s="36">
        <v>6.4500000000000002E-2</v>
      </c>
      <c r="K24" s="34">
        <f>J24*K22</f>
        <v>291.3360768</v>
      </c>
      <c r="L24" s="236"/>
      <c r="M24" s="33" t="s">
        <v>42</v>
      </c>
      <c r="N24" s="33"/>
      <c r="O24" s="36">
        <v>6.4500000000000002E-2</v>
      </c>
      <c r="P24" s="34">
        <f>O24*P22</f>
        <v>300.07615910399994</v>
      </c>
      <c r="R24" s="33" t="s">
        <v>42</v>
      </c>
      <c r="S24" s="33"/>
      <c r="T24" s="36">
        <v>6.4500000000000002E-2</v>
      </c>
      <c r="U24" s="34">
        <f>T24*U22</f>
        <v>309.07844387711998</v>
      </c>
    </row>
    <row r="25" spans="2:21" x14ac:dyDescent="0.3">
      <c r="C25" s="33" t="s">
        <v>58</v>
      </c>
      <c r="D25" s="33"/>
      <c r="E25" s="33"/>
      <c r="F25" s="34">
        <v>6.65</v>
      </c>
      <c r="H25" s="33" t="s">
        <v>58</v>
      </c>
      <c r="I25" s="33"/>
      <c r="J25" s="33"/>
      <c r="K25" s="34">
        <v>6.65</v>
      </c>
      <c r="L25" s="236"/>
      <c r="M25" s="33" t="s">
        <v>58</v>
      </c>
      <c r="N25" s="33"/>
      <c r="O25" s="33"/>
      <c r="P25" s="34">
        <v>6.65</v>
      </c>
      <c r="R25" s="33" t="s">
        <v>58</v>
      </c>
      <c r="S25" s="33"/>
      <c r="T25" s="33"/>
      <c r="U25" s="34">
        <v>6.65</v>
      </c>
    </row>
    <row r="26" spans="2:21" x14ac:dyDescent="0.3">
      <c r="C26" s="33" t="s">
        <v>43</v>
      </c>
      <c r="D26" s="33"/>
      <c r="E26" s="33"/>
      <c r="F26" s="116">
        <v>21.05</v>
      </c>
      <c r="H26" s="33" t="s">
        <v>43</v>
      </c>
      <c r="I26" s="33"/>
      <c r="J26" s="33"/>
      <c r="K26" s="116">
        <v>21.05</v>
      </c>
      <c r="L26" s="236"/>
      <c r="M26" s="33" t="s">
        <v>43</v>
      </c>
      <c r="N26" s="33"/>
      <c r="O26" s="33"/>
      <c r="P26" s="116">
        <v>21.05</v>
      </c>
      <c r="R26" s="33" t="s">
        <v>43</v>
      </c>
      <c r="S26" s="33"/>
      <c r="T26" s="33"/>
      <c r="U26" s="116">
        <v>21.05</v>
      </c>
    </row>
    <row r="27" spans="2:21" x14ac:dyDescent="0.3">
      <c r="C27" s="16" t="s">
        <v>59</v>
      </c>
      <c r="D27" s="16"/>
      <c r="E27" s="16"/>
      <c r="F27" s="50">
        <f>SUM(F22:F26)</f>
        <v>5695.4551359999996</v>
      </c>
      <c r="H27" s="16" t="s">
        <v>59</v>
      </c>
      <c r="I27" s="16"/>
      <c r="J27" s="16"/>
      <c r="K27" s="50">
        <f>SUM(K22:K26)</f>
        <v>5865.4877900799993</v>
      </c>
      <c r="L27" s="236"/>
      <c r="M27" s="16" t="s">
        <v>59</v>
      </c>
      <c r="N27" s="16"/>
      <c r="O27" s="16"/>
      <c r="P27" s="50">
        <f>SUM(P22:P26)</f>
        <v>6040.6214237823988</v>
      </c>
      <c r="R27" s="16" t="s">
        <v>59</v>
      </c>
      <c r="S27" s="16"/>
      <c r="T27" s="16"/>
      <c r="U27" s="50">
        <f>SUM(U22:U26)</f>
        <v>6221.0090664958707</v>
      </c>
    </row>
    <row r="28" spans="2:21" ht="15" thickBot="1" x14ac:dyDescent="0.35">
      <c r="C28" s="41" t="s">
        <v>64</v>
      </c>
      <c r="D28" s="41"/>
      <c r="E28" s="42">
        <f>VLOOKUP(C10,'Quelle '!A5:H26,8,)*100</f>
        <v>46.471000000000004</v>
      </c>
      <c r="F28" s="43">
        <f>F27*E28/100</f>
        <v>2646.7349562505597</v>
      </c>
      <c r="H28" s="41" t="s">
        <v>64</v>
      </c>
      <c r="I28" s="41"/>
      <c r="J28" s="42">
        <f>VLOOKUP(H10,'Quelle '!A33:H53,8,)*100</f>
        <v>46.471000000000004</v>
      </c>
      <c r="K28" s="43">
        <f>K27*J28/100</f>
        <v>2725.7508309280765</v>
      </c>
      <c r="L28" s="236"/>
      <c r="M28" s="41" t="s">
        <v>64</v>
      </c>
      <c r="N28" s="41"/>
      <c r="O28" s="42">
        <f>VLOOKUP(M10,'Quelle '!A60:H80,8,)*100</f>
        <v>46.471000000000004</v>
      </c>
      <c r="P28" s="43">
        <f>P27*O28/100</f>
        <v>2807.1371818459183</v>
      </c>
      <c r="R28" s="41" t="s">
        <v>64</v>
      </c>
      <c r="S28" s="41"/>
      <c r="T28" s="42">
        <f>VLOOKUP(R10,'Quelle '!A87:H107,8,)*100</f>
        <v>46.471000000000004</v>
      </c>
      <c r="U28" s="43">
        <f>U27*T28/100</f>
        <v>2890.9651232912961</v>
      </c>
    </row>
    <row r="29" spans="2:21" ht="15" thickBot="1" x14ac:dyDescent="0.35">
      <c r="C29" s="313" t="s">
        <v>71</v>
      </c>
      <c r="D29" s="314"/>
      <c r="E29" s="315"/>
      <c r="F29" s="31">
        <f>F37+F38</f>
        <v>43.025573689848827</v>
      </c>
      <c r="H29" s="313" t="s">
        <v>71</v>
      </c>
      <c r="I29" s="314"/>
      <c r="J29" s="315"/>
      <c r="K29" s="31">
        <f>K37+K38</f>
        <v>44.310063219326103</v>
      </c>
      <c r="M29" s="313" t="s">
        <v>71</v>
      </c>
      <c r="N29" s="314"/>
      <c r="O29" s="315"/>
      <c r="P29" s="31">
        <f>P37+P38</f>
        <v>45.633087434687702</v>
      </c>
      <c r="R29" s="313" t="s">
        <v>71</v>
      </c>
      <c r="S29" s="314"/>
      <c r="T29" s="315"/>
      <c r="U29" s="31">
        <f>U37+U38</f>
        <v>46.995802376510149</v>
      </c>
    </row>
    <row r="30" spans="2:21" ht="15" thickBot="1" x14ac:dyDescent="0.35">
      <c r="B30" s="2"/>
      <c r="C30" s="322" t="s">
        <v>60</v>
      </c>
      <c r="D30" s="323"/>
      <c r="E30" s="324"/>
      <c r="F30" s="114">
        <f>F27+(F28/12)</f>
        <v>5916.0163823542125</v>
      </c>
      <c r="G30" s="2"/>
      <c r="H30" s="322" t="s">
        <v>60</v>
      </c>
      <c r="I30" s="323"/>
      <c r="J30" s="324"/>
      <c r="K30" s="114">
        <f>K27+(K28/12)</f>
        <v>6092.6336926573385</v>
      </c>
      <c r="M30" s="322" t="s">
        <v>60</v>
      </c>
      <c r="N30" s="323"/>
      <c r="O30" s="324"/>
      <c r="P30" s="114">
        <f>P27+(P28/12)</f>
        <v>6274.549522269559</v>
      </c>
      <c r="R30" s="322" t="s">
        <v>60</v>
      </c>
      <c r="S30" s="323"/>
      <c r="T30" s="324"/>
      <c r="U30" s="114">
        <f>U27+(U28/12)</f>
        <v>6461.9228267701455</v>
      </c>
    </row>
    <row r="31" spans="2:21" ht="15" thickBot="1" x14ac:dyDescent="0.35">
      <c r="B31" s="2"/>
      <c r="C31" s="322" t="s">
        <v>61</v>
      </c>
      <c r="D31" s="323"/>
      <c r="E31" s="324"/>
      <c r="F31" s="115">
        <f>(F27*12)+F28</f>
        <v>70992.196588250546</v>
      </c>
      <c r="G31" s="2"/>
      <c r="H31" s="322" t="s">
        <v>61</v>
      </c>
      <c r="I31" s="323"/>
      <c r="J31" s="324"/>
      <c r="K31" s="115">
        <f>(K27*12)+K28</f>
        <v>73111.604311888077</v>
      </c>
      <c r="M31" s="322" t="s">
        <v>61</v>
      </c>
      <c r="N31" s="323"/>
      <c r="O31" s="324"/>
      <c r="P31" s="115">
        <f>(P27*12)+P28</f>
        <v>75294.594267234701</v>
      </c>
      <c r="R31" s="322" t="s">
        <v>61</v>
      </c>
      <c r="S31" s="323"/>
      <c r="T31" s="324"/>
      <c r="U31" s="115">
        <f>(U27*12)+U28</f>
        <v>77543.073921241754</v>
      </c>
    </row>
    <row r="32" spans="2:21" x14ac:dyDescent="0.3">
      <c r="C32" s="307"/>
      <c r="D32" s="308"/>
      <c r="E32" s="308"/>
      <c r="F32" s="309"/>
      <c r="H32" s="307"/>
      <c r="I32" s="308"/>
      <c r="J32" s="308"/>
      <c r="K32" s="309"/>
      <c r="M32" s="307"/>
      <c r="N32" s="308"/>
      <c r="O32" s="308"/>
      <c r="P32" s="309"/>
      <c r="R32" s="307"/>
      <c r="S32" s="308"/>
      <c r="T32" s="308"/>
      <c r="U32" s="309"/>
    </row>
    <row r="33" spans="3:21" x14ac:dyDescent="0.3">
      <c r="C33" s="40" t="s">
        <v>62</v>
      </c>
      <c r="D33" s="40"/>
      <c r="E33" s="40"/>
      <c r="F33" s="239">
        <f>(F22*12)+F22*E28/100</f>
        <v>54661.243468799999</v>
      </c>
      <c r="H33" s="40" t="s">
        <v>62</v>
      </c>
      <c r="I33" s="40"/>
      <c r="J33" s="40"/>
      <c r="K33" s="239">
        <f>(K22*12)+K22*J28/100</f>
        <v>56301.080772863992</v>
      </c>
      <c r="M33" s="40" t="s">
        <v>62</v>
      </c>
      <c r="N33" s="40"/>
      <c r="O33" s="40"/>
      <c r="P33" s="239">
        <f>(P22*12)+P22*O28/100</f>
        <v>57990.113196049919</v>
      </c>
      <c r="R33" s="40" t="s">
        <v>62</v>
      </c>
      <c r="S33" s="40"/>
      <c r="T33" s="40"/>
      <c r="U33" s="239">
        <f>(U22*12)+U22*T28/100</f>
        <v>59729.816591931412</v>
      </c>
    </row>
    <row r="34" spans="3:21" x14ac:dyDescent="0.3">
      <c r="C34" s="33" t="s">
        <v>63</v>
      </c>
      <c r="D34" s="33"/>
      <c r="E34" s="33"/>
      <c r="F34" s="34">
        <f>(SUM(F23:F26)*12)+(SUM(F23:F26)*E28/100)</f>
        <v>16330.953119450562</v>
      </c>
      <c r="H34" s="33" t="s">
        <v>63</v>
      </c>
      <c r="I34" s="33"/>
      <c r="J34" s="33"/>
      <c r="K34" s="34">
        <f>(SUM(K23:K26)*12)+(SUM(K23:K26)*J28/100)</f>
        <v>16810.523539024078</v>
      </c>
      <c r="M34" s="33" t="s">
        <v>63</v>
      </c>
      <c r="N34" s="33"/>
      <c r="O34" s="33"/>
      <c r="P34" s="34">
        <f>(SUM(P23:P26)*12)+(SUM(P23:P26)*O28/100)</f>
        <v>17304.481071184797</v>
      </c>
      <c r="R34" s="33" t="s">
        <v>63</v>
      </c>
      <c r="S34" s="33"/>
      <c r="T34" s="33"/>
      <c r="U34" s="34">
        <f>(SUM(U23:U26)*12)+(SUM(U23:U26)*T28/100)</f>
        <v>17813.257329310341</v>
      </c>
    </row>
    <row r="35" spans="3:21" x14ac:dyDescent="0.3">
      <c r="C35" s="33" t="s">
        <v>67</v>
      </c>
      <c r="D35" s="33"/>
      <c r="E35" s="33"/>
      <c r="F35" s="34">
        <f>F33/12</f>
        <v>4555.1036223999999</v>
      </c>
      <c r="H35" s="33" t="s">
        <v>67</v>
      </c>
      <c r="I35" s="33"/>
      <c r="J35" s="33"/>
      <c r="K35" s="34">
        <f>K33/12</f>
        <v>4691.7567310719996</v>
      </c>
      <c r="M35" s="33" t="s">
        <v>67</v>
      </c>
      <c r="N35" s="33"/>
      <c r="O35" s="33"/>
      <c r="P35" s="34">
        <f>P33/12</f>
        <v>4832.5094330041602</v>
      </c>
      <c r="R35" s="33" t="s">
        <v>67</v>
      </c>
      <c r="S35" s="33"/>
      <c r="T35" s="33"/>
      <c r="U35" s="34">
        <f>U33/12</f>
        <v>4977.4847159942847</v>
      </c>
    </row>
    <row r="36" spans="3:21" x14ac:dyDescent="0.3">
      <c r="C36" s="33" t="s">
        <v>68</v>
      </c>
      <c r="D36" s="33"/>
      <c r="E36" s="33"/>
      <c r="F36" s="34">
        <f>F34/12</f>
        <v>1360.9127599542135</v>
      </c>
      <c r="H36" s="33" t="s">
        <v>68</v>
      </c>
      <c r="I36" s="33"/>
      <c r="J36" s="33"/>
      <c r="K36" s="34">
        <f>K34/12</f>
        <v>1400.8769615853398</v>
      </c>
      <c r="M36" s="33" t="s">
        <v>68</v>
      </c>
      <c r="N36" s="33"/>
      <c r="O36" s="33"/>
      <c r="P36" s="34">
        <f>P34/12</f>
        <v>1442.0400892653997</v>
      </c>
      <c r="R36" s="33" t="s">
        <v>68</v>
      </c>
      <c r="S36" s="33"/>
      <c r="T36" s="33"/>
      <c r="U36" s="34">
        <f>U34/12</f>
        <v>1484.4381107758618</v>
      </c>
    </row>
    <row r="37" spans="3:21" x14ac:dyDescent="0.3">
      <c r="C37" s="33" t="s">
        <v>69</v>
      </c>
      <c r="D37" s="33"/>
      <c r="E37" s="33"/>
      <c r="F37" s="34">
        <f>F33/('Quelle '!$R$6*$D$6)</f>
        <v>33.128026344727274</v>
      </c>
      <c r="H37" s="33" t="s">
        <v>69</v>
      </c>
      <c r="I37" s="33"/>
      <c r="J37" s="33"/>
      <c r="K37" s="34">
        <f>K33/('Quelle '!$R$6*$D$6)</f>
        <v>34.121867135069088</v>
      </c>
      <c r="M37" s="33" t="s">
        <v>69</v>
      </c>
      <c r="N37" s="33"/>
      <c r="O37" s="33"/>
      <c r="P37" s="34">
        <f>P33/('Quelle '!$R$6*$D$6)</f>
        <v>35.145523149121161</v>
      </c>
      <c r="R37" s="33" t="s">
        <v>69</v>
      </c>
      <c r="S37" s="33"/>
      <c r="T37" s="33"/>
      <c r="U37" s="34">
        <f>U33/('Quelle '!$R$6*$D$6)</f>
        <v>36.199888843594792</v>
      </c>
    </row>
    <row r="38" spans="3:21" x14ac:dyDescent="0.3">
      <c r="C38" s="33" t="s">
        <v>70</v>
      </c>
      <c r="D38" s="33"/>
      <c r="E38" s="33"/>
      <c r="F38" s="34">
        <f>F34/('Quelle '!$R$6*$D$6)</f>
        <v>9.8975473451215521</v>
      </c>
      <c r="H38" s="33" t="s">
        <v>70</v>
      </c>
      <c r="I38" s="33"/>
      <c r="J38" s="33"/>
      <c r="K38" s="34">
        <f>K34/('Quelle '!$R$6*$D$6)</f>
        <v>10.188196084257017</v>
      </c>
      <c r="M38" s="33" t="s">
        <v>70</v>
      </c>
      <c r="N38" s="33"/>
      <c r="O38" s="33"/>
      <c r="P38" s="34">
        <f>P34/('Quelle '!$R$6*$D$6)</f>
        <v>10.487564285566544</v>
      </c>
      <c r="R38" s="33" t="s">
        <v>70</v>
      </c>
      <c r="S38" s="33"/>
      <c r="T38" s="33"/>
      <c r="U38" s="34">
        <f>U34/('Quelle '!$R$6*$D$6)</f>
        <v>10.795913532915359</v>
      </c>
    </row>
    <row r="39" spans="3:21" x14ac:dyDescent="0.3">
      <c r="C39" s="310"/>
      <c r="D39" s="301"/>
      <c r="E39" s="301"/>
      <c r="F39" s="302"/>
      <c r="H39" s="310"/>
      <c r="I39" s="301"/>
      <c r="J39" s="301"/>
      <c r="K39" s="302"/>
      <c r="M39" s="310"/>
      <c r="N39" s="301"/>
      <c r="O39" s="301"/>
      <c r="P39" s="302"/>
      <c r="R39" s="310"/>
      <c r="S39" s="301"/>
      <c r="T39" s="301"/>
      <c r="U39" s="302"/>
    </row>
    <row r="40" spans="3:21" x14ac:dyDescent="0.3">
      <c r="C40" s="35" t="s">
        <v>49</v>
      </c>
      <c r="D40" s="33"/>
      <c r="E40" s="33"/>
      <c r="F40" s="33"/>
      <c r="H40" s="35" t="s">
        <v>49</v>
      </c>
      <c r="I40" s="33"/>
      <c r="J40" s="33"/>
      <c r="K40" s="33"/>
      <c r="M40" s="35" t="s">
        <v>49</v>
      </c>
      <c r="N40" s="33"/>
      <c r="O40" s="33"/>
      <c r="P40" s="33"/>
      <c r="R40" s="35" t="s">
        <v>49</v>
      </c>
      <c r="S40" s="33"/>
      <c r="T40" s="33"/>
      <c r="U40" s="33"/>
    </row>
    <row r="41" spans="3:21" x14ac:dyDescent="0.3">
      <c r="C41" s="33" t="s">
        <v>50</v>
      </c>
      <c r="D41" s="33"/>
      <c r="E41" s="36">
        <f>'Quelle '!$S$21</f>
        <v>9.2999999999999999E-2</v>
      </c>
      <c r="F41" s="34">
        <f>E41*F22</f>
        <v>407.83103999999997</v>
      </c>
      <c r="H41" s="33" t="s">
        <v>50</v>
      </c>
      <c r="I41" s="33"/>
      <c r="J41" s="36">
        <f>'Quelle '!$S$21</f>
        <v>9.2999999999999999E-2</v>
      </c>
      <c r="K41" s="34">
        <f>J41*K22</f>
        <v>420.06597119999998</v>
      </c>
      <c r="M41" s="33" t="s">
        <v>50</v>
      </c>
      <c r="N41" s="33"/>
      <c r="O41" s="36">
        <f>'Quelle '!$S$21</f>
        <v>9.2999999999999999E-2</v>
      </c>
      <c r="P41" s="34">
        <f>O41*P22</f>
        <v>432.66795033599993</v>
      </c>
      <c r="R41" s="33" t="s">
        <v>50</v>
      </c>
      <c r="S41" s="33"/>
      <c r="T41" s="36">
        <f>'Quelle '!$S$21</f>
        <v>9.2999999999999999E-2</v>
      </c>
      <c r="U41" s="34">
        <f>T41*U22</f>
        <v>445.64798884607995</v>
      </c>
    </row>
    <row r="42" spans="3:21" x14ac:dyDescent="0.3">
      <c r="C42" s="33" t="s">
        <v>51</v>
      </c>
      <c r="D42" s="33"/>
      <c r="E42" s="36">
        <f>'Quelle '!$S$22</f>
        <v>1.2E-2</v>
      </c>
      <c r="F42" s="34">
        <f>E42*F22</f>
        <v>52.623359999999998</v>
      </c>
      <c r="H42" s="33" t="s">
        <v>51</v>
      </c>
      <c r="I42" s="33"/>
      <c r="J42" s="36">
        <f>'Quelle '!$S$22</f>
        <v>1.2E-2</v>
      </c>
      <c r="K42" s="34">
        <f>J42*K22</f>
        <v>54.202060799999998</v>
      </c>
      <c r="M42" s="33" t="s">
        <v>51</v>
      </c>
      <c r="N42" s="33"/>
      <c r="O42" s="36">
        <f>'Quelle '!$S$22</f>
        <v>1.2E-2</v>
      </c>
      <c r="P42" s="34">
        <f>O42*P22</f>
        <v>55.828122623999995</v>
      </c>
      <c r="R42" s="33" t="s">
        <v>51</v>
      </c>
      <c r="S42" s="33"/>
      <c r="T42" s="36">
        <f>'Quelle '!$S$22</f>
        <v>1.2E-2</v>
      </c>
      <c r="U42" s="34">
        <f>T42*U22</f>
        <v>57.502966302719997</v>
      </c>
    </row>
    <row r="43" spans="3:21" x14ac:dyDescent="0.3">
      <c r="C43" s="33" t="s">
        <v>52</v>
      </c>
      <c r="D43" s="33"/>
      <c r="E43" s="36">
        <f>'Quelle '!$S$23</f>
        <v>7.9000000000000001E-2</v>
      </c>
      <c r="F43" s="34">
        <f>E43*F22</f>
        <v>346.43711999999999</v>
      </c>
      <c r="H43" s="33" t="s">
        <v>52</v>
      </c>
      <c r="I43" s="33"/>
      <c r="J43" s="36">
        <f>'Quelle '!$S$23</f>
        <v>7.9000000000000001E-2</v>
      </c>
      <c r="K43" s="34">
        <f>J43*K22</f>
        <v>356.83023359999999</v>
      </c>
      <c r="M43" s="33" t="s">
        <v>52</v>
      </c>
      <c r="N43" s="33"/>
      <c r="O43" s="36">
        <f>'Quelle '!$S$23</f>
        <v>7.9000000000000001E-2</v>
      </c>
      <c r="P43" s="34">
        <f>O43*P22</f>
        <v>367.53514060799995</v>
      </c>
      <c r="R43" s="33" t="s">
        <v>52</v>
      </c>
      <c r="S43" s="33"/>
      <c r="T43" s="36">
        <f>'Quelle '!$S$23</f>
        <v>7.9000000000000001E-2</v>
      </c>
      <c r="U43" s="34">
        <f>T43*U22</f>
        <v>378.56119482623996</v>
      </c>
    </row>
    <row r="44" spans="3:21" x14ac:dyDescent="0.3">
      <c r="C44" s="33" t="s">
        <v>53</v>
      </c>
      <c r="D44" s="33"/>
      <c r="E44" s="36">
        <f>'Quelle '!$S$24</f>
        <v>1.525E-2</v>
      </c>
      <c r="F44" s="34">
        <f>E44*F22</f>
        <v>66.875519999999995</v>
      </c>
      <c r="H44" s="33" t="s">
        <v>53</v>
      </c>
      <c r="I44" s="33"/>
      <c r="J44" s="36">
        <f>'Quelle '!$S$24</f>
        <v>1.525E-2</v>
      </c>
      <c r="K44" s="34">
        <f>J44*K22</f>
        <v>68.881785599999986</v>
      </c>
      <c r="M44" s="33" t="s">
        <v>53</v>
      </c>
      <c r="N44" s="33"/>
      <c r="O44" s="36">
        <f>'Quelle '!$S$24</f>
        <v>1.525E-2</v>
      </c>
      <c r="P44" s="34">
        <f>O44*P22</f>
        <v>70.948239167999986</v>
      </c>
      <c r="R44" s="33" t="s">
        <v>53</v>
      </c>
      <c r="S44" s="33"/>
      <c r="T44" s="36">
        <f>'Quelle '!$S$24</f>
        <v>1.525E-2</v>
      </c>
      <c r="U44" s="34">
        <f>T44*U22</f>
        <v>73.076686343039995</v>
      </c>
    </row>
    <row r="45" spans="3:21" x14ac:dyDescent="0.3">
      <c r="C45" s="33" t="s">
        <v>54</v>
      </c>
      <c r="D45" s="33"/>
      <c r="E45" s="36">
        <v>0</v>
      </c>
      <c r="F45" s="119">
        <f>E45*F22</f>
        <v>0</v>
      </c>
      <c r="H45" s="33" t="s">
        <v>54</v>
      </c>
      <c r="I45" s="33"/>
      <c r="J45" s="36">
        <v>0</v>
      </c>
      <c r="K45" s="119">
        <f>J45*K22</f>
        <v>0</v>
      </c>
      <c r="M45" s="33" t="s">
        <v>54</v>
      </c>
      <c r="N45" s="33"/>
      <c r="O45" s="36">
        <v>0</v>
      </c>
      <c r="P45" s="119">
        <f>O45*P22</f>
        <v>0</v>
      </c>
      <c r="R45" s="33" t="s">
        <v>54</v>
      </c>
      <c r="S45" s="33"/>
      <c r="T45" s="36">
        <v>0</v>
      </c>
      <c r="U45" s="119">
        <f>T45*U22</f>
        <v>0</v>
      </c>
    </row>
    <row r="46" spans="3:21" x14ac:dyDescent="0.3">
      <c r="C46" s="37" t="s">
        <v>188</v>
      </c>
      <c r="D46" s="33"/>
      <c r="E46" s="36">
        <f>'Quelle '!$S$26++'Quelle '!$S$25</f>
        <v>2.87E-2</v>
      </c>
      <c r="F46" s="34">
        <f>E46*F22</f>
        <v>125.857536</v>
      </c>
      <c r="H46" s="37" t="s">
        <v>188</v>
      </c>
      <c r="I46" s="33"/>
      <c r="J46" s="36">
        <f>'Quelle '!$S$26++'Quelle '!$S$25</f>
        <v>2.87E-2</v>
      </c>
      <c r="K46" s="34">
        <f>J46*K22</f>
        <v>129.63326207999998</v>
      </c>
      <c r="M46" s="37" t="s">
        <v>188</v>
      </c>
      <c r="N46" s="33"/>
      <c r="O46" s="36">
        <f>'Quelle '!$S$26++'Quelle '!$S$25</f>
        <v>2.87E-2</v>
      </c>
      <c r="P46" s="34">
        <f>O46*P22</f>
        <v>133.52225994239998</v>
      </c>
      <c r="R46" s="37" t="s">
        <v>188</v>
      </c>
      <c r="S46" s="33"/>
      <c r="T46" s="36">
        <f>'Quelle '!$S$26++'Quelle '!$S$25</f>
        <v>2.87E-2</v>
      </c>
      <c r="U46" s="34">
        <f>T46*U22</f>
        <v>137.52792774067197</v>
      </c>
    </row>
    <row r="47" spans="3:21" x14ac:dyDescent="0.3">
      <c r="C47" s="38" t="s">
        <v>56</v>
      </c>
      <c r="D47" s="33"/>
      <c r="E47" s="36">
        <f>SUM(E41:E46)</f>
        <v>0.22794999999999999</v>
      </c>
      <c r="F47" s="39">
        <f>E47*F22</f>
        <v>999.62457599999993</v>
      </c>
      <c r="H47" s="38" t="s">
        <v>56</v>
      </c>
      <c r="I47" s="33"/>
      <c r="J47" s="36">
        <f>SUM(J41:J46)</f>
        <v>0.22794999999999999</v>
      </c>
      <c r="K47" s="39">
        <f>J47*K22</f>
        <v>1029.6133132799998</v>
      </c>
      <c r="M47" s="38" t="s">
        <v>56</v>
      </c>
      <c r="N47" s="33"/>
      <c r="O47" s="36">
        <f>SUM(O41:O46)</f>
        <v>0.22794999999999999</v>
      </c>
      <c r="P47" s="39">
        <f>O47*P22</f>
        <v>1060.5017126783998</v>
      </c>
      <c r="R47" s="38" t="s">
        <v>56</v>
      </c>
      <c r="S47" s="33"/>
      <c r="T47" s="36">
        <f>SUM(T41:T46)</f>
        <v>0.22794999999999999</v>
      </c>
      <c r="U47" s="39">
        <f>T47*U22</f>
        <v>1092.3167640587519</v>
      </c>
    </row>
    <row r="50" spans="3:3" x14ac:dyDescent="0.3">
      <c r="C50" t="s">
        <v>45</v>
      </c>
    </row>
    <row r="51" spans="3:3" x14ac:dyDescent="0.3">
      <c r="C51" t="s">
        <v>46</v>
      </c>
    </row>
    <row r="52" spans="3:3" x14ac:dyDescent="0.3">
      <c r="C52" t="s">
        <v>47</v>
      </c>
    </row>
    <row r="53" spans="3:3" x14ac:dyDescent="0.3">
      <c r="C53" t="s">
        <v>48</v>
      </c>
    </row>
    <row r="54" spans="3:3" x14ac:dyDescent="0.3">
      <c r="C54" t="s">
        <v>189</v>
      </c>
    </row>
  </sheetData>
  <mergeCells count="44">
    <mergeCell ref="C39:F39"/>
    <mergeCell ref="C30:E30"/>
    <mergeCell ref="C31:E31"/>
    <mergeCell ref="C32:F32"/>
    <mergeCell ref="M10:N10"/>
    <mergeCell ref="M12:N12"/>
    <mergeCell ref="H39:K39"/>
    <mergeCell ref="H17:K17"/>
    <mergeCell ref="H12:I12"/>
    <mergeCell ref="H10:I10"/>
    <mergeCell ref="H19:I19"/>
    <mergeCell ref="H29:J29"/>
    <mergeCell ref="H30:J30"/>
    <mergeCell ref="H31:J31"/>
    <mergeCell ref="H32:K32"/>
    <mergeCell ref="J10:K10"/>
    <mergeCell ref="M31:O31"/>
    <mergeCell ref="C19:D19"/>
    <mergeCell ref="C29:E29"/>
    <mergeCell ref="K3:P7"/>
    <mergeCell ref="C10:D10"/>
    <mergeCell ref="C12:D12"/>
    <mergeCell ref="E10:F10"/>
    <mergeCell ref="E12:F12"/>
    <mergeCell ref="O10:P10"/>
    <mergeCell ref="O12:P12"/>
    <mergeCell ref="J12:K12"/>
    <mergeCell ref="M29:O29"/>
    <mergeCell ref="M32:P32"/>
    <mergeCell ref="M39:P39"/>
    <mergeCell ref="R10:S10"/>
    <mergeCell ref="T10:U10"/>
    <mergeCell ref="R12:S12"/>
    <mergeCell ref="T12:U12"/>
    <mergeCell ref="R17:U17"/>
    <mergeCell ref="R19:S19"/>
    <mergeCell ref="R29:T29"/>
    <mergeCell ref="R30:T30"/>
    <mergeCell ref="R31:T31"/>
    <mergeCell ref="R32:U32"/>
    <mergeCell ref="R39:U39"/>
    <mergeCell ref="M17:P17"/>
    <mergeCell ref="M19:N19"/>
    <mergeCell ref="M30:O30"/>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'Quelle '!$B$6:$G$6</xm:f>
          </x14:formula1>
          <xm:sqref>E10</xm:sqref>
        </x14:dataValidation>
        <x14:dataValidation type="list" allowBlank="1" showInputMessage="1" showErrorMessage="1">
          <x14:formula1>
            <xm:f>'Quelle '!$A$8:$A$26</xm:f>
          </x14:formula1>
          <xm:sqref>C10</xm:sqref>
        </x14:dataValidation>
        <x14:dataValidation type="list" allowBlank="1" showInputMessage="1" showErrorMessage="1">
          <x14:formula1>
            <xm:f>'Quelle '!$A$35:$A$53</xm:f>
          </x14:formula1>
          <xm:sqref>H10:I10</xm:sqref>
        </x14:dataValidation>
        <x14:dataValidation type="list" allowBlank="1" showInputMessage="1" showErrorMessage="1">
          <x14:formula1>
            <xm:f>'Quelle '!$A$35:$A$53</xm:f>
          </x14:formula1>
          <xm:sqref>M10:N10</xm:sqref>
        </x14:dataValidation>
        <x14:dataValidation type="list" allowBlank="1" showInputMessage="1" showErrorMessage="1">
          <x14:formula1>
            <xm:f>'Quelle '!$A$35:$A$53</xm:f>
          </x14:formula1>
          <xm:sqref>R10:S10</xm:sqref>
        </x14:dataValidation>
        <x14:dataValidation type="list" allowBlank="1" showInputMessage="1" showErrorMessage="1">
          <x14:formula1>
            <xm:f>'Quelle '!$B$33:$G$33</xm:f>
          </x14:formula1>
          <xm:sqref>J10</xm:sqref>
        </x14:dataValidation>
        <x14:dataValidation type="list" allowBlank="1" showInputMessage="1" showErrorMessage="1">
          <x14:formula1>
            <xm:f>'Quelle '!$B$33:$G$33</xm:f>
          </x14:formula1>
          <xm:sqref>O10</xm:sqref>
        </x14:dataValidation>
        <x14:dataValidation type="list" allowBlank="1" showInputMessage="1" showErrorMessage="1">
          <x14:formula1>
            <xm:f>'Quelle '!$B$33:$G$33</xm:f>
          </x14:formula1>
          <xm:sqref>T10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Normal="100" workbookViewId="0"/>
  </sheetViews>
  <sheetFormatPr baseColWidth="10" defaultRowHeight="14.4" x14ac:dyDescent="0.3"/>
  <cols>
    <col min="1" max="1" width="17.88671875" customWidth="1"/>
    <col min="2" max="2" width="10" customWidth="1"/>
    <col min="3" max="3" width="20.6640625" customWidth="1"/>
    <col min="5" max="5" width="16.5546875" customWidth="1"/>
    <col min="7" max="7" width="6.33203125" customWidth="1"/>
    <col min="9" max="9" width="20.109375" customWidth="1"/>
    <col min="10" max="10" width="12.5546875" customWidth="1"/>
    <col min="11" max="11" width="19" customWidth="1"/>
    <col min="13" max="13" width="6.109375" customWidth="1"/>
    <col min="15" max="15" width="19.33203125" customWidth="1"/>
    <col min="19" max="19" width="6.33203125" customWidth="1"/>
  </cols>
  <sheetData>
    <row r="1" spans="1:24" ht="21" x14ac:dyDescent="0.4">
      <c r="A1" s="241" t="s">
        <v>192</v>
      </c>
      <c r="C1" s="3" t="s">
        <v>119</v>
      </c>
      <c r="F1" s="1" t="s">
        <v>123</v>
      </c>
    </row>
    <row r="2" spans="1:24" ht="9" customHeight="1" thickBot="1" x14ac:dyDescent="0.45">
      <c r="A2" s="241"/>
      <c r="C2" s="56"/>
      <c r="D2" s="2"/>
      <c r="E2" s="2"/>
      <c r="F2" s="2"/>
      <c r="G2" s="241"/>
      <c r="H2" s="2"/>
      <c r="I2" s="2"/>
    </row>
    <row r="3" spans="1:24" ht="21.6" thickBot="1" x14ac:dyDescent="0.45">
      <c r="A3" s="1"/>
      <c r="C3" s="264" t="s">
        <v>113</v>
      </c>
      <c r="D3" s="265"/>
      <c r="E3" s="265"/>
      <c r="F3" s="265"/>
      <c r="G3" s="265"/>
      <c r="H3" s="265"/>
      <c r="I3" s="266"/>
      <c r="K3" s="325" t="s">
        <v>200</v>
      </c>
      <c r="L3" s="325"/>
      <c r="M3" s="325"/>
      <c r="N3" s="325"/>
      <c r="O3" s="325"/>
      <c r="P3" s="325"/>
    </row>
    <row r="4" spans="1:24" ht="15" thickBot="1" x14ac:dyDescent="0.35">
      <c r="A4" s="1"/>
      <c r="C4" s="267" t="s">
        <v>151</v>
      </c>
      <c r="D4" s="268"/>
      <c r="E4" s="268"/>
      <c r="F4" s="268"/>
      <c r="G4" s="268"/>
      <c r="H4" s="268"/>
      <c r="I4" s="269"/>
      <c r="K4" s="325"/>
      <c r="L4" s="325"/>
      <c r="M4" s="325"/>
      <c r="N4" s="325"/>
      <c r="O4" s="325"/>
      <c r="P4" s="325"/>
    </row>
    <row r="5" spans="1:24" ht="15" thickBot="1" x14ac:dyDescent="0.35">
      <c r="K5" s="325"/>
      <c r="L5" s="325"/>
      <c r="M5" s="325"/>
      <c r="N5" s="325"/>
      <c r="O5" s="325"/>
      <c r="P5" s="325"/>
    </row>
    <row r="6" spans="1:24" ht="15" thickBot="1" x14ac:dyDescent="0.35">
      <c r="A6" s="1" t="s">
        <v>36</v>
      </c>
      <c r="C6" t="s">
        <v>37</v>
      </c>
      <c r="D6" s="18">
        <v>1</v>
      </c>
      <c r="I6" s="1"/>
      <c r="K6" s="325"/>
      <c r="L6" s="325"/>
      <c r="M6" s="325"/>
      <c r="N6" s="325"/>
      <c r="O6" s="325"/>
      <c r="P6" s="325"/>
    </row>
    <row r="7" spans="1:24" x14ac:dyDescent="0.3">
      <c r="C7" t="s">
        <v>184</v>
      </c>
      <c r="K7" s="325"/>
      <c r="L7" s="325"/>
      <c r="M7" s="325"/>
      <c r="N7" s="325"/>
      <c r="O7" s="325"/>
      <c r="P7" s="325"/>
    </row>
    <row r="9" spans="1:24" ht="15" thickBot="1" x14ac:dyDescent="0.35">
      <c r="B9" s="1" t="s">
        <v>9</v>
      </c>
      <c r="C9" s="1"/>
      <c r="D9" s="1" t="s">
        <v>38</v>
      </c>
      <c r="H9" s="1" t="s">
        <v>9</v>
      </c>
      <c r="I9" s="1"/>
      <c r="J9" s="1" t="s">
        <v>38</v>
      </c>
      <c r="N9" s="1" t="s">
        <v>9</v>
      </c>
      <c r="O9" s="1"/>
      <c r="P9" s="1" t="s">
        <v>38</v>
      </c>
      <c r="T9" s="1" t="s">
        <v>9</v>
      </c>
      <c r="U9" s="1"/>
      <c r="V9" s="1" t="s">
        <v>38</v>
      </c>
    </row>
    <row r="10" spans="1:24" ht="15" thickBot="1" x14ac:dyDescent="0.35">
      <c r="B10" s="298" t="s">
        <v>19</v>
      </c>
      <c r="C10" s="299"/>
      <c r="D10" s="48" t="s">
        <v>3</v>
      </c>
      <c r="H10" s="298" t="s">
        <v>19</v>
      </c>
      <c r="I10" s="316"/>
      <c r="J10" s="48" t="s">
        <v>3</v>
      </c>
      <c r="N10" s="298" t="s">
        <v>19</v>
      </c>
      <c r="O10" s="316"/>
      <c r="P10" s="48" t="s">
        <v>3</v>
      </c>
      <c r="T10" s="298" t="s">
        <v>19</v>
      </c>
      <c r="U10" s="316"/>
      <c r="V10" s="48" t="s">
        <v>3</v>
      </c>
    </row>
    <row r="12" spans="1:24" x14ac:dyDescent="0.3">
      <c r="A12" s="1" t="s">
        <v>73</v>
      </c>
    </row>
    <row r="13" spans="1:24" ht="21.6" thickBot="1" x14ac:dyDescent="0.45">
      <c r="B13" s="319" t="s">
        <v>72</v>
      </c>
      <c r="C13" s="320"/>
      <c r="D13" s="320"/>
      <c r="E13" s="321"/>
      <c r="H13" s="319" t="s">
        <v>179</v>
      </c>
      <c r="I13" s="320"/>
      <c r="J13" s="320"/>
      <c r="K13" s="321"/>
      <c r="L13" s="259"/>
      <c r="M13" s="260"/>
      <c r="N13" s="319" t="s">
        <v>203</v>
      </c>
      <c r="O13" s="320"/>
      <c r="P13" s="320"/>
      <c r="Q13" s="321"/>
      <c r="R13" s="259"/>
      <c r="T13" s="319" t="s">
        <v>204</v>
      </c>
      <c r="U13" s="320"/>
      <c r="V13" s="320"/>
      <c r="W13" s="321"/>
      <c r="X13" s="259"/>
    </row>
    <row r="14" spans="1:24" x14ac:dyDescent="0.3">
      <c r="B14" s="19"/>
      <c r="C14" s="20"/>
      <c r="D14" s="27"/>
      <c r="E14" s="32" t="s">
        <v>44</v>
      </c>
      <c r="H14" s="19"/>
      <c r="I14" s="20"/>
      <c r="J14" s="27"/>
      <c r="K14" s="32" t="s">
        <v>44</v>
      </c>
      <c r="L14" s="259"/>
      <c r="M14" s="260"/>
      <c r="N14" s="19"/>
      <c r="O14" s="20"/>
      <c r="P14" s="27"/>
      <c r="Q14" s="32" t="s">
        <v>44</v>
      </c>
      <c r="R14" s="259"/>
      <c r="T14" s="19"/>
      <c r="U14" s="20"/>
      <c r="V14" s="27"/>
      <c r="W14" s="32" t="s">
        <v>44</v>
      </c>
      <c r="X14" s="259"/>
    </row>
    <row r="15" spans="1:24" x14ac:dyDescent="0.3">
      <c r="B15" s="311" t="s">
        <v>40</v>
      </c>
      <c r="C15" s="312"/>
      <c r="D15" s="29"/>
      <c r="E15" s="28" t="str">
        <f>B10</f>
        <v xml:space="preserve">E 13 </v>
      </c>
      <c r="H15" s="311" t="s">
        <v>40</v>
      </c>
      <c r="I15" s="312"/>
      <c r="J15" s="29"/>
      <c r="K15" s="28" t="str">
        <f>H10</f>
        <v xml:space="preserve">E 13 </v>
      </c>
      <c r="L15" s="259"/>
      <c r="M15" s="260"/>
      <c r="N15" s="311" t="s">
        <v>40</v>
      </c>
      <c r="O15" s="312"/>
      <c r="P15" s="29"/>
      <c r="Q15" s="28" t="str">
        <f>N10</f>
        <v xml:space="preserve">E 13 </v>
      </c>
      <c r="R15" s="259"/>
      <c r="T15" s="311" t="s">
        <v>40</v>
      </c>
      <c r="U15" s="312"/>
      <c r="V15" s="29"/>
      <c r="W15" s="28" t="str">
        <f>T10</f>
        <v xml:space="preserve">E 13 </v>
      </c>
      <c r="X15" s="259"/>
    </row>
    <row r="16" spans="1:24" x14ac:dyDescent="0.3">
      <c r="B16" s="19"/>
      <c r="C16" s="20"/>
      <c r="D16" s="28"/>
      <c r="E16" s="28" t="str">
        <f>D10</f>
        <v>Stufe 2</v>
      </c>
      <c r="H16" s="19"/>
      <c r="I16" s="20"/>
      <c r="J16" s="28"/>
      <c r="K16" s="28" t="str">
        <f>J10</f>
        <v>Stufe 2</v>
      </c>
      <c r="L16" s="259"/>
      <c r="M16" s="260"/>
      <c r="N16" s="19"/>
      <c r="O16" s="20"/>
      <c r="P16" s="28"/>
      <c r="Q16" s="28" t="str">
        <f>P10</f>
        <v>Stufe 2</v>
      </c>
      <c r="R16" s="259"/>
      <c r="T16" s="19"/>
      <c r="U16" s="20"/>
      <c r="V16" s="28"/>
      <c r="W16" s="28" t="str">
        <f>V10</f>
        <v>Stufe 2</v>
      </c>
      <c r="X16" s="259"/>
    </row>
    <row r="17" spans="1:24" ht="15" thickBot="1" x14ac:dyDescent="0.35">
      <c r="B17" s="25"/>
      <c r="C17" s="26"/>
      <c r="D17" s="47" t="s">
        <v>65</v>
      </c>
      <c r="E17" s="47" t="s">
        <v>66</v>
      </c>
      <c r="H17" s="25"/>
      <c r="I17" s="26"/>
      <c r="J17" s="47" t="s">
        <v>65</v>
      </c>
      <c r="K17" s="47" t="s">
        <v>66</v>
      </c>
      <c r="L17" s="259"/>
      <c r="M17" s="260"/>
      <c r="N17" s="25"/>
      <c r="O17" s="26"/>
      <c r="P17" s="47" t="s">
        <v>65</v>
      </c>
      <c r="Q17" s="47" t="s">
        <v>66</v>
      </c>
      <c r="R17" s="259"/>
      <c r="T17" s="25"/>
      <c r="U17" s="26"/>
      <c r="V17" s="47" t="s">
        <v>65</v>
      </c>
      <c r="W17" s="47" t="s">
        <v>66</v>
      </c>
      <c r="X17" s="259"/>
    </row>
    <row r="18" spans="1:24" x14ac:dyDescent="0.3">
      <c r="B18" s="44" t="s">
        <v>41</v>
      </c>
      <c r="C18" s="45"/>
      <c r="D18" s="46"/>
      <c r="E18" s="30">
        <f>INDEX('Quelle '!A5:H26,MATCH(EFRE!B10,'Quelle '!A5:A26,0),MATCH(D10,'Quelle '!A6:G6))*EFRE!D6</f>
        <v>4385.28</v>
      </c>
      <c r="H18" s="44" t="s">
        <v>41</v>
      </c>
      <c r="I18" s="45"/>
      <c r="J18" s="46"/>
      <c r="K18" s="30">
        <f>INDEX('Quelle '!A33:H53,MATCH(EFRE!H10,'Quelle '!A33:A53,0),MATCH(J10,'Quelle '!A33:G33))*EFRE!D6</f>
        <v>4516.8383999999996</v>
      </c>
      <c r="L18" s="259"/>
      <c r="M18" s="260"/>
      <c r="N18" s="44" t="s">
        <v>41</v>
      </c>
      <c r="O18" s="45"/>
      <c r="P18" s="46"/>
      <c r="Q18" s="271">
        <f>INDEX('Quelle '!A60:G80,MATCH(EFRE!N10,'Quelle '!A60:A80,0),MATCH(P10,'Quelle '!A60:G60))*EFRE!D6</f>
        <v>4652.3435519999994</v>
      </c>
      <c r="R18" s="259"/>
      <c r="T18" s="44" t="s">
        <v>41</v>
      </c>
      <c r="U18" s="45"/>
      <c r="V18" s="46"/>
      <c r="W18" s="271">
        <f>INDEX('Quelle '!A87:G107,MATCH(EFRE!T10,'Quelle '!A87:A107,0),MATCH(V10,'Quelle '!A87:G87))*EFRE!D6</f>
        <v>4791.9138585599994</v>
      </c>
      <c r="X18" s="259"/>
    </row>
    <row r="19" spans="1:24" x14ac:dyDescent="0.3">
      <c r="B19" s="33" t="s">
        <v>57</v>
      </c>
      <c r="C19" s="33"/>
      <c r="D19" s="36">
        <f>D70</f>
        <v>0.22794999999999999</v>
      </c>
      <c r="E19" s="34">
        <f>E70</f>
        <v>999.62457599999993</v>
      </c>
      <c r="H19" s="33" t="s">
        <v>57</v>
      </c>
      <c r="I19" s="33"/>
      <c r="J19" s="36">
        <f>J70</f>
        <v>0.22794999999999999</v>
      </c>
      <c r="K19" s="34">
        <f>K70</f>
        <v>1029.6133132799998</v>
      </c>
      <c r="L19" s="259"/>
      <c r="M19" s="260"/>
      <c r="N19" s="33" t="s">
        <v>57</v>
      </c>
      <c r="O19" s="33"/>
      <c r="P19" s="36">
        <f>P70</f>
        <v>0.22794999999999999</v>
      </c>
      <c r="Q19" s="34">
        <f>Q70</f>
        <v>1060.5017126783998</v>
      </c>
      <c r="R19" s="259"/>
      <c r="T19" s="33" t="s">
        <v>57</v>
      </c>
      <c r="U19" s="33"/>
      <c r="V19" s="36">
        <f>V70</f>
        <v>0.22794999999999999</v>
      </c>
      <c r="W19" s="34">
        <f>W70</f>
        <v>1092.3167640587519</v>
      </c>
      <c r="X19" s="259"/>
    </row>
    <row r="20" spans="1:24" x14ac:dyDescent="0.3">
      <c r="B20" s="33" t="s">
        <v>42</v>
      </c>
      <c r="C20" s="33"/>
      <c r="D20" s="36">
        <v>6.4500000000000002E-2</v>
      </c>
      <c r="E20" s="34">
        <f>D20*E18</f>
        <v>282.85055999999997</v>
      </c>
      <c r="H20" s="33" t="s">
        <v>42</v>
      </c>
      <c r="I20" s="33"/>
      <c r="J20" s="36">
        <v>6.4500000000000002E-2</v>
      </c>
      <c r="K20" s="34">
        <f>J20*K18</f>
        <v>291.3360768</v>
      </c>
      <c r="L20" s="259"/>
      <c r="M20" s="260"/>
      <c r="N20" s="33" t="s">
        <v>42</v>
      </c>
      <c r="O20" s="33"/>
      <c r="P20" s="36">
        <v>6.4500000000000002E-2</v>
      </c>
      <c r="Q20" s="34">
        <f>P20*Q18</f>
        <v>300.07615910399994</v>
      </c>
      <c r="R20" s="259"/>
      <c r="T20" s="33" t="s">
        <v>42</v>
      </c>
      <c r="U20" s="33"/>
      <c r="V20" s="36">
        <v>6.4500000000000002E-2</v>
      </c>
      <c r="W20" s="34">
        <f>V20*W18</f>
        <v>309.07844387711998</v>
      </c>
      <c r="X20" s="259"/>
    </row>
    <row r="21" spans="1:24" x14ac:dyDescent="0.3">
      <c r="B21" s="33" t="s">
        <v>58</v>
      </c>
      <c r="C21" s="33"/>
      <c r="D21" s="33"/>
      <c r="E21" s="34">
        <v>6.65</v>
      </c>
      <c r="H21" s="33" t="s">
        <v>58</v>
      </c>
      <c r="I21" s="33"/>
      <c r="J21" s="33"/>
      <c r="K21" s="34">
        <v>6.65</v>
      </c>
      <c r="L21" s="259"/>
      <c r="M21" s="260"/>
      <c r="N21" s="33" t="s">
        <v>58</v>
      </c>
      <c r="O21" s="33"/>
      <c r="P21" s="33"/>
      <c r="Q21" s="34">
        <v>6.65</v>
      </c>
      <c r="R21" s="259"/>
      <c r="T21" s="33" t="s">
        <v>58</v>
      </c>
      <c r="U21" s="33"/>
      <c r="V21" s="33"/>
      <c r="W21" s="34">
        <v>6.65</v>
      </c>
      <c r="X21" s="259"/>
    </row>
    <row r="22" spans="1:24" x14ac:dyDescent="0.3">
      <c r="B22" s="33" t="s">
        <v>43</v>
      </c>
      <c r="C22" s="33"/>
      <c r="D22" s="33"/>
      <c r="E22" s="34">
        <v>21.05</v>
      </c>
      <c r="H22" s="33" t="s">
        <v>43</v>
      </c>
      <c r="I22" s="33"/>
      <c r="J22" s="33"/>
      <c r="K22" s="34">
        <v>21.05</v>
      </c>
      <c r="L22" s="259"/>
      <c r="M22" s="260"/>
      <c r="N22" s="33" t="s">
        <v>43</v>
      </c>
      <c r="O22" s="33"/>
      <c r="P22" s="33"/>
      <c r="Q22" s="34">
        <v>21.05</v>
      </c>
      <c r="R22" s="259"/>
      <c r="T22" s="33" t="s">
        <v>43</v>
      </c>
      <c r="U22" s="33"/>
      <c r="V22" s="33"/>
      <c r="W22" s="34">
        <v>21.05</v>
      </c>
      <c r="X22" s="259"/>
    </row>
    <row r="23" spans="1:24" x14ac:dyDescent="0.3">
      <c r="B23" s="37" t="s">
        <v>59</v>
      </c>
      <c r="C23" s="37"/>
      <c r="D23" s="37"/>
      <c r="E23" s="120">
        <f>SUM(E18:E22)</f>
        <v>5695.4551359999996</v>
      </c>
      <c r="F23" s="2"/>
      <c r="G23" s="2"/>
      <c r="H23" s="37" t="s">
        <v>59</v>
      </c>
      <c r="I23" s="37"/>
      <c r="J23" s="37"/>
      <c r="K23" s="120">
        <f>SUM(K18:K22)</f>
        <v>5865.4877900799993</v>
      </c>
      <c r="L23" s="259"/>
      <c r="M23" s="260"/>
      <c r="N23" s="37" t="s">
        <v>59</v>
      </c>
      <c r="O23" s="37"/>
      <c r="P23" s="37"/>
      <c r="Q23" s="120">
        <f>SUM(Q18:Q22)</f>
        <v>6040.6214237823988</v>
      </c>
      <c r="R23" s="259"/>
      <c r="T23" s="37" t="s">
        <v>59</v>
      </c>
      <c r="U23" s="37"/>
      <c r="V23" s="37"/>
      <c r="W23" s="120">
        <f>SUM(W18:W22)</f>
        <v>6221.0090664958707</v>
      </c>
      <c r="X23" s="259"/>
    </row>
    <row r="24" spans="1:24" ht="15" thickBot="1" x14ac:dyDescent="0.35">
      <c r="B24" s="41" t="s">
        <v>64</v>
      </c>
      <c r="C24" s="41"/>
      <c r="D24" s="42">
        <f>VLOOKUP(B10,'Quelle '!A5:H26,8,)*100</f>
        <v>46.471000000000004</v>
      </c>
      <c r="E24" s="43">
        <f>E23*D24/100</f>
        <v>2646.7349562505597</v>
      </c>
      <c r="H24" s="41" t="s">
        <v>64</v>
      </c>
      <c r="I24" s="41"/>
      <c r="J24" s="42">
        <f>VLOOKUP(H10,'Quelle '!A33:H10653,8,)*100</f>
        <v>46.471000000000004</v>
      </c>
      <c r="K24" s="43">
        <f>K23*J24/100</f>
        <v>2725.7508309280765</v>
      </c>
      <c r="L24" s="259"/>
      <c r="M24" s="260"/>
      <c r="N24" s="41" t="s">
        <v>64</v>
      </c>
      <c r="O24" s="41"/>
      <c r="P24" s="42">
        <f>VLOOKUP(N10,'Quelle '!A60:H80,8,)*100</f>
        <v>46.471000000000004</v>
      </c>
      <c r="Q24" s="43">
        <f>Q23*P24/100</f>
        <v>2807.1371818459183</v>
      </c>
      <c r="R24" s="259"/>
      <c r="T24" s="41" t="s">
        <v>64</v>
      </c>
      <c r="U24" s="41"/>
      <c r="V24" s="42">
        <f>VLOOKUP(T10,'Quelle '!A87:H107,8,)*100</f>
        <v>46.471000000000004</v>
      </c>
      <c r="W24" s="43">
        <f>W23*V24/100</f>
        <v>2890.9651232912961</v>
      </c>
      <c r="X24" s="259"/>
    </row>
    <row r="25" spans="1:24" ht="15" thickBot="1" x14ac:dyDescent="0.35">
      <c r="B25" s="335" t="s">
        <v>71</v>
      </c>
      <c r="C25" s="336"/>
      <c r="D25" s="337"/>
      <c r="E25" s="161">
        <f>E60+E61</f>
        <v>43.025573689848827</v>
      </c>
      <c r="H25" s="338" t="s">
        <v>71</v>
      </c>
      <c r="I25" s="339"/>
      <c r="J25" s="340"/>
      <c r="K25" s="161">
        <f>K60+K61</f>
        <v>44.310063219326103</v>
      </c>
      <c r="L25" s="259"/>
      <c r="M25" s="260"/>
      <c r="N25" s="338" t="s">
        <v>71</v>
      </c>
      <c r="O25" s="339"/>
      <c r="P25" s="340"/>
      <c r="Q25" s="161">
        <f>Q60+Q61</f>
        <v>45.633087434687702</v>
      </c>
      <c r="R25" s="259"/>
      <c r="T25" s="338" t="s">
        <v>71</v>
      </c>
      <c r="U25" s="339"/>
      <c r="V25" s="340"/>
      <c r="W25" s="161">
        <f>W60+W61</f>
        <v>46.995802376510149</v>
      </c>
      <c r="X25" s="259"/>
    </row>
    <row r="26" spans="1:24" ht="15" thickBot="1" x14ac:dyDescent="0.35">
      <c r="B26" s="326" t="s">
        <v>60</v>
      </c>
      <c r="C26" s="305"/>
      <c r="D26" s="327"/>
      <c r="E26" s="219">
        <f>E23+(E24/12)</f>
        <v>5916.0163823542125</v>
      </c>
      <c r="H26" s="341" t="s">
        <v>60</v>
      </c>
      <c r="I26" s="342"/>
      <c r="J26" s="343"/>
      <c r="K26" s="51">
        <f>K23+(K24/12)</f>
        <v>6092.6336926573385</v>
      </c>
      <c r="L26" s="259"/>
      <c r="M26" s="260"/>
      <c r="N26" s="341" t="s">
        <v>60</v>
      </c>
      <c r="O26" s="342"/>
      <c r="P26" s="343"/>
      <c r="Q26" s="51">
        <f>Q23+(Q24/12)</f>
        <v>6274.549522269559</v>
      </c>
      <c r="R26" s="259"/>
      <c r="T26" s="341" t="s">
        <v>60</v>
      </c>
      <c r="U26" s="342"/>
      <c r="V26" s="343"/>
      <c r="W26" s="51">
        <f>W23+(W24/12)</f>
        <v>6461.9228267701455</v>
      </c>
      <c r="X26" s="259"/>
    </row>
    <row r="27" spans="1:24" ht="15" thickBot="1" x14ac:dyDescent="0.35">
      <c r="B27" s="328" t="s">
        <v>61</v>
      </c>
      <c r="C27" s="329"/>
      <c r="D27" s="330"/>
      <c r="E27" s="220">
        <f>(E23*12)+E24</f>
        <v>70992.196588250546</v>
      </c>
      <c r="F27" s="20"/>
      <c r="G27" s="20"/>
      <c r="H27" s="331" t="s">
        <v>61</v>
      </c>
      <c r="I27" s="332"/>
      <c r="J27" s="333"/>
      <c r="K27" s="52">
        <f>(K23*12)+K24</f>
        <v>73111.604311888077</v>
      </c>
      <c r="L27" s="259"/>
      <c r="M27" s="260"/>
      <c r="N27" s="331" t="s">
        <v>61</v>
      </c>
      <c r="O27" s="332"/>
      <c r="P27" s="333"/>
      <c r="Q27" s="52">
        <f>(Q23*12)+Q24</f>
        <v>75294.594267234701</v>
      </c>
      <c r="R27" s="259"/>
      <c r="T27" s="331" t="s">
        <v>61</v>
      </c>
      <c r="U27" s="332"/>
      <c r="V27" s="333"/>
      <c r="W27" s="52">
        <f>(W23*12)+W24</f>
        <v>77543.073921241754</v>
      </c>
      <c r="X27" s="259"/>
    </row>
    <row r="28" spans="1:24" s="2" customFormat="1" x14ac:dyDescent="0.3">
      <c r="B28" s="138"/>
      <c r="C28" s="139"/>
      <c r="D28" s="139"/>
      <c r="E28" s="55"/>
      <c r="F28" s="17"/>
      <c r="G28" s="17"/>
      <c r="H28" s="20"/>
      <c r="I28" s="139"/>
      <c r="J28" s="139"/>
      <c r="K28" s="55"/>
      <c r="N28" s="20"/>
      <c r="O28" s="262"/>
      <c r="P28" s="262"/>
      <c r="Q28" s="55"/>
      <c r="T28" s="20"/>
      <c r="U28" s="262"/>
      <c r="V28" s="262"/>
      <c r="W28" s="55"/>
    </row>
    <row r="29" spans="1:24" s="2" customFormat="1" x14ac:dyDescent="0.3">
      <c r="B29" s="53"/>
      <c r="C29" s="54"/>
      <c r="D29" s="54"/>
      <c r="E29" s="55"/>
      <c r="F29" s="17"/>
      <c r="G29" s="17"/>
      <c r="H29" s="217"/>
      <c r="I29" s="54"/>
      <c r="J29" s="54"/>
      <c r="K29" s="55"/>
      <c r="N29" s="263"/>
      <c r="O29" s="262"/>
      <c r="P29" s="262"/>
      <c r="Q29" s="55"/>
      <c r="T29" s="263"/>
      <c r="U29" s="262"/>
      <c r="V29" s="262"/>
      <c r="W29" s="55"/>
    </row>
    <row r="30" spans="1:24" s="2" customFormat="1" x14ac:dyDescent="0.3">
      <c r="B30" s="138"/>
      <c r="C30" s="139"/>
      <c r="D30" s="139"/>
      <c r="E30" s="55"/>
      <c r="F30" s="17"/>
      <c r="G30" s="17"/>
      <c r="H30" s="263"/>
      <c r="I30" s="262"/>
      <c r="J30" s="262"/>
      <c r="K30" s="55"/>
      <c r="L30" s="17"/>
      <c r="M30" s="17"/>
      <c r="N30" s="263"/>
      <c r="O30" s="262"/>
      <c r="P30" s="262"/>
      <c r="Q30" s="55"/>
      <c r="R30" s="17"/>
      <c r="S30" s="17"/>
      <c r="T30" s="263"/>
      <c r="U30" s="262"/>
      <c r="V30" s="262"/>
      <c r="W30" s="55"/>
    </row>
    <row r="31" spans="1:24" s="2" customFormat="1" x14ac:dyDescent="0.3">
      <c r="B31" s="53"/>
      <c r="C31" s="54"/>
      <c r="D31" s="54"/>
      <c r="E31" s="55"/>
      <c r="F31" s="17"/>
      <c r="G31" s="17"/>
      <c r="H31" s="263"/>
      <c r="I31" s="262"/>
      <c r="J31" s="262"/>
      <c r="K31" s="55"/>
      <c r="L31" s="17"/>
      <c r="M31" s="17"/>
      <c r="N31" s="263"/>
      <c r="O31" s="262"/>
      <c r="P31" s="262"/>
      <c r="Q31" s="55"/>
      <c r="R31" s="17"/>
      <c r="S31" s="17"/>
      <c r="T31" s="263"/>
      <c r="U31" s="262"/>
      <c r="V31" s="262"/>
      <c r="W31" s="55"/>
    </row>
    <row r="32" spans="1:24" s="2" customFormat="1" ht="21" x14ac:dyDescent="0.4">
      <c r="A32" s="56" t="s">
        <v>84</v>
      </c>
      <c r="B32" s="63">
        <v>2021</v>
      </c>
      <c r="C32" s="54"/>
      <c r="D32" s="54"/>
      <c r="E32" s="55"/>
      <c r="G32" s="17"/>
      <c r="H32" s="56" t="s">
        <v>172</v>
      </c>
      <c r="N32" s="56" t="s">
        <v>206</v>
      </c>
      <c r="T32" s="56" t="s">
        <v>205</v>
      </c>
    </row>
    <row r="33" spans="1:24" s="2" customFormat="1" x14ac:dyDescent="0.3">
      <c r="A33" s="261" t="s">
        <v>175</v>
      </c>
      <c r="B33" s="57">
        <v>1</v>
      </c>
      <c r="C33" s="58">
        <v>2</v>
      </c>
      <c r="D33" s="58">
        <v>3</v>
      </c>
      <c r="E33" s="59">
        <v>3</v>
      </c>
      <c r="F33" s="58">
        <v>4</v>
      </c>
      <c r="G33" s="64"/>
      <c r="H33" s="57">
        <v>1</v>
      </c>
      <c r="I33" s="58">
        <v>2</v>
      </c>
      <c r="J33" s="58">
        <v>3</v>
      </c>
      <c r="K33" s="59">
        <v>3</v>
      </c>
      <c r="L33" s="58">
        <v>4</v>
      </c>
      <c r="N33" s="57">
        <v>1</v>
      </c>
      <c r="O33" s="58">
        <v>2</v>
      </c>
      <c r="P33" s="58">
        <v>3</v>
      </c>
      <c r="Q33" s="59">
        <v>3</v>
      </c>
      <c r="R33" s="58">
        <v>4</v>
      </c>
      <c r="T33" s="57">
        <v>1</v>
      </c>
      <c r="U33" s="58">
        <v>2</v>
      </c>
      <c r="V33" s="58">
        <v>3</v>
      </c>
      <c r="W33" s="59">
        <v>3</v>
      </c>
      <c r="X33" s="58">
        <v>4</v>
      </c>
    </row>
    <row r="34" spans="1:24" s="2" customFormat="1" x14ac:dyDescent="0.3">
      <c r="A34" s="261" t="s">
        <v>74</v>
      </c>
      <c r="B34" s="58" t="s">
        <v>83</v>
      </c>
      <c r="C34" s="58" t="s">
        <v>80</v>
      </c>
      <c r="D34" s="58" t="s">
        <v>81</v>
      </c>
      <c r="E34" s="58" t="s">
        <v>82</v>
      </c>
      <c r="F34" s="58" t="s">
        <v>87</v>
      </c>
      <c r="G34" s="64"/>
      <c r="H34" s="58" t="s">
        <v>83</v>
      </c>
      <c r="I34" s="58" t="s">
        <v>80</v>
      </c>
      <c r="J34" s="58" t="s">
        <v>81</v>
      </c>
      <c r="K34" s="58" t="s">
        <v>82</v>
      </c>
      <c r="L34" s="58" t="s">
        <v>87</v>
      </c>
      <c r="N34" s="58" t="s">
        <v>83</v>
      </c>
      <c r="O34" s="58" t="s">
        <v>80</v>
      </c>
      <c r="P34" s="58" t="s">
        <v>81</v>
      </c>
      <c r="Q34" s="58" t="s">
        <v>82</v>
      </c>
      <c r="R34" s="58" t="s">
        <v>87</v>
      </c>
      <c r="T34" s="58" t="s">
        <v>83</v>
      </c>
      <c r="U34" s="58" t="s">
        <v>80</v>
      </c>
      <c r="V34" s="58" t="s">
        <v>81</v>
      </c>
      <c r="W34" s="58" t="s">
        <v>82</v>
      </c>
      <c r="X34" s="58" t="s">
        <v>87</v>
      </c>
    </row>
    <row r="35" spans="1:24" s="2" customFormat="1" x14ac:dyDescent="0.3">
      <c r="A35" s="261" t="s">
        <v>75</v>
      </c>
      <c r="B35" s="60">
        <v>9149</v>
      </c>
      <c r="C35" s="60">
        <v>5885</v>
      </c>
      <c r="D35" s="60">
        <v>4163</v>
      </c>
      <c r="E35" s="60">
        <v>4163</v>
      </c>
      <c r="F35" s="62">
        <v>3074</v>
      </c>
      <c r="G35" s="65"/>
      <c r="H35" s="60">
        <v>8992</v>
      </c>
      <c r="I35" s="60">
        <v>5885</v>
      </c>
      <c r="J35" s="58">
        <v>4163</v>
      </c>
      <c r="K35" s="58">
        <v>4163</v>
      </c>
      <c r="L35" s="62">
        <v>3074</v>
      </c>
      <c r="N35" s="60">
        <v>8992</v>
      </c>
      <c r="O35" s="60">
        <v>5885</v>
      </c>
      <c r="P35" s="58">
        <v>4163</v>
      </c>
      <c r="Q35" s="58">
        <v>4163</v>
      </c>
      <c r="R35" s="62">
        <v>3074</v>
      </c>
      <c r="T35" s="60">
        <v>8992</v>
      </c>
      <c r="U35" s="60">
        <v>5885</v>
      </c>
      <c r="V35" s="58">
        <v>4163</v>
      </c>
      <c r="W35" s="58">
        <v>4163</v>
      </c>
      <c r="X35" s="62">
        <v>3074</v>
      </c>
    </row>
    <row r="36" spans="1:24" s="2" customFormat="1" x14ac:dyDescent="0.3">
      <c r="A36" s="261" t="s">
        <v>77</v>
      </c>
      <c r="B36" s="100">
        <v>66</v>
      </c>
      <c r="C36" s="100">
        <v>42</v>
      </c>
      <c r="D36" s="100">
        <v>30</v>
      </c>
      <c r="E36" s="61">
        <v>30</v>
      </c>
      <c r="F36" s="61">
        <v>22</v>
      </c>
      <c r="G36" s="99"/>
      <c r="H36" s="100">
        <v>65</v>
      </c>
      <c r="I36" s="100">
        <v>42</v>
      </c>
      <c r="J36" s="100">
        <v>29</v>
      </c>
      <c r="K36" s="61">
        <v>29</v>
      </c>
      <c r="L36" s="61">
        <v>21</v>
      </c>
      <c r="N36" s="100">
        <v>65</v>
      </c>
      <c r="O36" s="100">
        <v>42</v>
      </c>
      <c r="P36" s="100">
        <v>29</v>
      </c>
      <c r="Q36" s="61">
        <v>29</v>
      </c>
      <c r="R36" s="61">
        <v>21</v>
      </c>
      <c r="T36" s="100">
        <v>65</v>
      </c>
      <c r="U36" s="100">
        <v>42</v>
      </c>
      <c r="V36" s="100">
        <v>29</v>
      </c>
      <c r="W36" s="61">
        <v>29</v>
      </c>
      <c r="X36" s="61">
        <v>21</v>
      </c>
    </row>
    <row r="37" spans="1:24" s="2" customFormat="1" x14ac:dyDescent="0.3">
      <c r="A37" s="261" t="s">
        <v>78</v>
      </c>
      <c r="B37" s="196" t="str">
        <f>IF(E26&gt;B35,"ACHTUNG","OK")</f>
        <v>OK</v>
      </c>
      <c r="C37" s="196" t="str">
        <f>IF(E26&gt;C35,"ACHTUNG","OK")</f>
        <v>ACHTUNG</v>
      </c>
      <c r="D37" s="196" t="str">
        <f>IF(E26&gt;D35,"ACHTUNG","OK")</f>
        <v>ACHTUNG</v>
      </c>
      <c r="E37" s="195" t="str">
        <f>IF('SHK u. WHK'!P16&gt;E35,"ACHTUNG","OK")</f>
        <v>OK</v>
      </c>
      <c r="F37" s="196" t="s">
        <v>212</v>
      </c>
      <c r="G37" s="66"/>
      <c r="H37" s="196" t="str">
        <f>IF(K26&gt;H35,"ACHTUNG","OK")</f>
        <v>OK</v>
      </c>
      <c r="I37" s="196" t="str">
        <f>IF(K26&gt;I35,"ACHTUNG","OK")</f>
        <v>ACHTUNG</v>
      </c>
      <c r="J37" s="196" t="str">
        <f>IF(K26&gt;J35,"ACHTUNG","OK")</f>
        <v>ACHTUNG</v>
      </c>
      <c r="K37" s="195" t="str">
        <f>IF('SHK u. WHK'!P16&gt;K35,"ACHTUNG","OK")</f>
        <v>OK</v>
      </c>
      <c r="L37" s="196" t="s">
        <v>212</v>
      </c>
      <c r="N37" s="196" t="str">
        <f>IF(Q26&gt;N35,"ACHTUNG","OK")</f>
        <v>OK</v>
      </c>
      <c r="O37" s="196" t="str">
        <f>IF(Q26&gt;O35,"ACHTUNG","OK")</f>
        <v>ACHTUNG</v>
      </c>
      <c r="P37" s="196" t="str">
        <f>IF(Q26&gt;P35,"ACHTUNG","OK")</f>
        <v>ACHTUNG</v>
      </c>
      <c r="Q37" s="195" t="str">
        <f>IF('SHK u. WHK'!P16&gt;Q35,"ACHTUNG","OK")</f>
        <v>OK</v>
      </c>
      <c r="R37" s="196" t="s">
        <v>212</v>
      </c>
      <c r="T37" s="196" t="str">
        <f>IF(W26&gt;T35,"ACHTUNG","OK")</f>
        <v>OK</v>
      </c>
      <c r="U37" s="196" t="str">
        <f>IF(W26&gt;U35,"ACHTUNG","OK")</f>
        <v>ACHTUNG</v>
      </c>
      <c r="V37" s="196" t="str">
        <f>IF(W26&gt;V35,"ACHTUNG","OK")</f>
        <v>ACHTUNG</v>
      </c>
      <c r="W37" s="195" t="str">
        <f>IF('SHK u. WHK'!P16&gt;W35,"ACHTUNG","OK")</f>
        <v>OK</v>
      </c>
      <c r="X37" s="196" t="s">
        <v>212</v>
      </c>
    </row>
    <row r="38" spans="1:24" s="2" customFormat="1" x14ac:dyDescent="0.3">
      <c r="A38" s="261" t="s">
        <v>79</v>
      </c>
      <c r="B38" s="196" t="str">
        <f>IF(E25&gt;B36,"ACHTUNG","OK")</f>
        <v>OK</v>
      </c>
      <c r="C38" s="196" t="str">
        <f>IF(E25&gt;C36,"ACHTUNG","OK")</f>
        <v>ACHTUNG</v>
      </c>
      <c r="D38" s="196" t="str">
        <f>IF(E25&gt;D36,"ACHTUNG","OK")</f>
        <v>ACHTUNG</v>
      </c>
      <c r="E38" s="195" t="str">
        <f>IF('SHK u. WHK'!N16&gt;E36,"ACHTUNG","OK")</f>
        <v>OK</v>
      </c>
      <c r="F38" s="196" t="s">
        <v>212</v>
      </c>
      <c r="G38" s="67"/>
      <c r="H38" s="196" t="str">
        <f>IF(K25&gt;H36,"ACHTUNG","OK")</f>
        <v>OK</v>
      </c>
      <c r="I38" s="196" t="str">
        <f>IF(K25&gt;I36,"ACHTUNG","OK")</f>
        <v>ACHTUNG</v>
      </c>
      <c r="J38" s="196" t="str">
        <f>IF(K25&gt;J36,"ACHTUNG","OK")</f>
        <v>ACHTUNG</v>
      </c>
      <c r="K38" s="195" t="str">
        <f>IF('SHK u. WHK'!N16&gt;K36,"ACHTUNG","OK")</f>
        <v>OK</v>
      </c>
      <c r="L38" s="196" t="s">
        <v>212</v>
      </c>
      <c r="N38" s="196" t="str">
        <f>IF(Q25&gt;N36,"ACHTUNG","OK")</f>
        <v>OK</v>
      </c>
      <c r="O38" s="196" t="str">
        <f>IF(Q25&gt;O36,"ACHTUNG","OK")</f>
        <v>ACHTUNG</v>
      </c>
      <c r="P38" s="196" t="str">
        <f>IF(Q25&gt;P36,"ACHTUNG","OK")</f>
        <v>ACHTUNG</v>
      </c>
      <c r="Q38" s="195" t="str">
        <f>IF('SHK u. WHK'!N16&gt;Q36,"ACHTUNG","OK")</f>
        <v>OK</v>
      </c>
      <c r="R38" s="196" t="s">
        <v>212</v>
      </c>
      <c r="T38" s="196" t="str">
        <f>IF(W25&gt;T36,"ACHTUNG","OK")</f>
        <v>OK</v>
      </c>
      <c r="U38" s="196" t="str">
        <f>IF(W25&gt;U36,"ACHTUNG","OK")</f>
        <v>ACHTUNG</v>
      </c>
      <c r="V38" s="196" t="str">
        <f>IF(W25&gt;V36,"ACHTUNG","OK")</f>
        <v>ACHTUNG</v>
      </c>
      <c r="W38" s="195" t="str">
        <f>IF('SHK u. WHK'!N16&gt;W36,"ACHTUNG","OK")</f>
        <v>OK</v>
      </c>
      <c r="X38" s="196" t="s">
        <v>212</v>
      </c>
    </row>
    <row r="39" spans="1:24" s="2" customFormat="1" x14ac:dyDescent="0.3">
      <c r="A39" s="261" t="s">
        <v>85</v>
      </c>
      <c r="B39" s="102">
        <f>B35-E26</f>
        <v>3232.9836176457875</v>
      </c>
      <c r="C39" s="102">
        <f>C35-E26</f>
        <v>-31.01638235421251</v>
      </c>
      <c r="D39" s="102">
        <f>D35-E26</f>
        <v>-1753.0163823542125</v>
      </c>
      <c r="E39" s="102" t="s">
        <v>114</v>
      </c>
      <c r="F39" s="103" t="s">
        <v>114</v>
      </c>
      <c r="G39" s="101"/>
      <c r="H39" s="102">
        <f>H35-K26</f>
        <v>2899.3663073426615</v>
      </c>
      <c r="I39" s="102">
        <f>I35-K26</f>
        <v>-207.63369265733854</v>
      </c>
      <c r="J39" s="102">
        <f>J35-K26</f>
        <v>-1929.6336926573385</v>
      </c>
      <c r="K39" s="102" t="s">
        <v>114</v>
      </c>
      <c r="L39" s="103" t="s">
        <v>114</v>
      </c>
      <c r="N39" s="102">
        <f>N35-Q26</f>
        <v>2717.450477730441</v>
      </c>
      <c r="O39" s="102">
        <f>O35-Q26</f>
        <v>-389.54952226955902</v>
      </c>
      <c r="P39" s="102">
        <f>P35-Q26</f>
        <v>-2111.549522269559</v>
      </c>
      <c r="Q39" s="102" t="s">
        <v>114</v>
      </c>
      <c r="R39" s="103" t="s">
        <v>114</v>
      </c>
      <c r="T39" s="102">
        <f>T35-W26</f>
        <v>2530.0771732298545</v>
      </c>
      <c r="U39" s="102">
        <f>U35-W26</f>
        <v>-576.92282677014555</v>
      </c>
      <c r="V39" s="102">
        <f>V35-W26</f>
        <v>-2298.9228267701455</v>
      </c>
      <c r="W39" s="102" t="s">
        <v>114</v>
      </c>
      <c r="X39" s="103" t="s">
        <v>114</v>
      </c>
    </row>
    <row r="40" spans="1:24" s="2" customFormat="1" x14ac:dyDescent="0.3">
      <c r="A40" s="261" t="s">
        <v>86</v>
      </c>
      <c r="B40" s="102">
        <f>B36-E25</f>
        <v>22.974426310151173</v>
      </c>
      <c r="C40" s="102">
        <f>C36-E25</f>
        <v>-1.0255736898488266</v>
      </c>
      <c r="D40" s="102">
        <f>D36-E25</f>
        <v>-13.025573689848827</v>
      </c>
      <c r="E40" s="105">
        <f>E36-'SHK u. WHK'!N16</f>
        <v>16.157294999999998</v>
      </c>
      <c r="F40" s="102" t="s">
        <v>217</v>
      </c>
      <c r="G40" s="104"/>
      <c r="H40" s="102">
        <f>H36-K25</f>
        <v>20.689936780673897</v>
      </c>
      <c r="I40" s="102">
        <f>I36-K25</f>
        <v>-2.3100632193261035</v>
      </c>
      <c r="J40" s="102">
        <f>J36-K25</f>
        <v>-15.310063219326103</v>
      </c>
      <c r="K40" s="105">
        <f>K36-'SHK u. WHK'!N16</f>
        <v>15.157295</v>
      </c>
      <c r="L40" s="102" t="s">
        <v>217</v>
      </c>
      <c r="N40" s="102">
        <f>N36-Q25</f>
        <v>19.366912565312298</v>
      </c>
      <c r="O40" s="102">
        <f>O36-Q25</f>
        <v>-3.6330874346877025</v>
      </c>
      <c r="P40" s="102">
        <f>P36-Q25</f>
        <v>-16.633087434687702</v>
      </c>
      <c r="Q40" s="105">
        <f>Q36-'SHK u. WHK'!N16</f>
        <v>15.157295</v>
      </c>
      <c r="R40" s="102" t="s">
        <v>217</v>
      </c>
      <c r="T40" s="102">
        <f>T36-W25</f>
        <v>18.004197623489851</v>
      </c>
      <c r="U40" s="102">
        <f>U36-W25</f>
        <v>-4.9958023765101487</v>
      </c>
      <c r="V40" s="102">
        <f>V36-W25</f>
        <v>-17.995802376510149</v>
      </c>
      <c r="W40" s="105">
        <f>W36-'SHK u. WHK'!N16</f>
        <v>15.157295</v>
      </c>
      <c r="X40" s="102" t="s">
        <v>217</v>
      </c>
    </row>
    <row r="41" spans="1:24" s="2" customFormat="1" x14ac:dyDescent="0.3">
      <c r="B41" s="53"/>
      <c r="C41" s="54"/>
      <c r="D41" s="54"/>
      <c r="E41" s="55"/>
      <c r="F41" s="17"/>
      <c r="G41" s="17"/>
      <c r="H41" s="53"/>
      <c r="I41" s="54"/>
      <c r="J41" s="54"/>
      <c r="K41" s="55"/>
    </row>
    <row r="42" spans="1:24" s="2" customFormat="1" x14ac:dyDescent="0.3">
      <c r="B42" s="17" t="s">
        <v>213</v>
      </c>
      <c r="C42" s="262"/>
      <c r="D42" s="262"/>
      <c r="E42" s="55"/>
      <c r="F42" s="17"/>
      <c r="G42" s="17"/>
      <c r="H42" s="263"/>
      <c r="I42" s="262"/>
      <c r="J42" s="262"/>
      <c r="K42" s="55"/>
    </row>
    <row r="43" spans="1:24" s="2" customFormat="1" x14ac:dyDescent="0.3">
      <c r="B43" s="262" t="s">
        <v>88</v>
      </c>
      <c r="C43" s="54"/>
      <c r="D43" s="54"/>
      <c r="E43" s="55"/>
      <c r="F43" s="17"/>
      <c r="G43" s="17"/>
      <c r="H43" s="53"/>
      <c r="I43" s="54"/>
      <c r="J43" s="54"/>
      <c r="K43" s="55"/>
    </row>
    <row r="44" spans="1:24" s="2" customFormat="1" x14ac:dyDescent="0.3">
      <c r="B44" s="262" t="s">
        <v>89</v>
      </c>
      <c r="C44" s="54"/>
      <c r="D44" s="54"/>
      <c r="E44" s="55"/>
      <c r="F44" s="17"/>
      <c r="G44" s="17"/>
      <c r="H44" s="53"/>
      <c r="I44" s="54"/>
      <c r="J44" s="54"/>
      <c r="K44" s="55"/>
    </row>
    <row r="45" spans="1:24" s="2" customFormat="1" x14ac:dyDescent="0.3">
      <c r="B45" s="262" t="s">
        <v>115</v>
      </c>
      <c r="C45" s="54"/>
      <c r="D45" s="54"/>
      <c r="E45" s="55"/>
      <c r="F45" s="17"/>
      <c r="G45" s="17"/>
      <c r="H45" s="53"/>
      <c r="I45" s="54"/>
      <c r="J45" s="54"/>
      <c r="K45" s="55"/>
    </row>
    <row r="46" spans="1:24" s="2" customFormat="1" x14ac:dyDescent="0.3">
      <c r="B46" s="53"/>
      <c r="C46" s="54"/>
      <c r="D46" s="54"/>
      <c r="E46" s="55"/>
      <c r="F46" s="17"/>
      <c r="G46" s="17"/>
      <c r="H46" s="53"/>
      <c r="I46" s="54"/>
      <c r="J46" s="54"/>
      <c r="K46" s="55"/>
    </row>
    <row r="47" spans="1:24" s="2" customFormat="1" x14ac:dyDescent="0.3">
      <c r="B47" s="53"/>
      <c r="C47" s="54"/>
      <c r="D47" s="54"/>
      <c r="E47" s="55"/>
      <c r="F47" s="17"/>
      <c r="G47" s="17"/>
      <c r="H47" s="53"/>
      <c r="I47" s="54"/>
      <c r="J47" s="54"/>
      <c r="K47" s="55"/>
    </row>
    <row r="48" spans="1:24" s="2" customFormat="1" x14ac:dyDescent="0.3">
      <c r="B48" s="53"/>
      <c r="C48" s="54"/>
      <c r="D48" s="54"/>
      <c r="E48" s="55"/>
      <c r="F48" s="17"/>
      <c r="G48" s="17"/>
      <c r="H48" s="53"/>
      <c r="I48" s="54"/>
      <c r="J48" s="54"/>
      <c r="K48" s="55"/>
    </row>
    <row r="49" spans="1:23" s="2" customFormat="1" x14ac:dyDescent="0.3">
      <c r="B49" s="53"/>
      <c r="C49" s="54"/>
      <c r="D49" s="54"/>
      <c r="E49" s="55"/>
      <c r="F49" s="17"/>
      <c r="G49" s="17"/>
      <c r="H49" s="53"/>
      <c r="I49" s="54"/>
      <c r="J49" s="54"/>
      <c r="K49" s="55"/>
    </row>
    <row r="50" spans="1:23" s="2" customFormat="1" x14ac:dyDescent="0.3">
      <c r="B50" s="53"/>
      <c r="C50" s="54"/>
      <c r="D50" s="54"/>
      <c r="E50" s="55"/>
      <c r="F50" s="17"/>
      <c r="G50" s="17"/>
      <c r="H50" s="53"/>
      <c r="I50" s="54"/>
      <c r="J50" s="54"/>
      <c r="K50" s="55"/>
    </row>
    <row r="51" spans="1:23" s="2" customFormat="1" x14ac:dyDescent="0.3">
      <c r="B51" s="53"/>
      <c r="C51" s="54"/>
      <c r="D51" s="54"/>
      <c r="E51" s="55"/>
      <c r="F51" s="17"/>
      <c r="G51" s="17"/>
      <c r="H51" s="53"/>
      <c r="I51" s="54"/>
      <c r="J51" s="54"/>
      <c r="K51" s="55"/>
    </row>
    <row r="52" spans="1:23" s="2" customFormat="1" x14ac:dyDescent="0.3">
      <c r="B52" s="53"/>
      <c r="C52" s="54"/>
      <c r="D52" s="54"/>
      <c r="E52" s="55"/>
      <c r="F52" s="17"/>
      <c r="G52" s="17"/>
      <c r="H52" s="53"/>
      <c r="I52" s="54"/>
      <c r="J52" s="54"/>
      <c r="K52" s="55"/>
    </row>
    <row r="53" spans="1:23" s="2" customFormat="1" x14ac:dyDescent="0.3">
      <c r="B53" s="53"/>
      <c r="C53" s="54"/>
      <c r="D53" s="54"/>
      <c r="E53" s="55"/>
      <c r="F53" s="17"/>
      <c r="G53" s="17"/>
      <c r="H53" s="53"/>
      <c r="I53" s="54"/>
      <c r="J53" s="54"/>
      <c r="K53" s="55"/>
    </row>
    <row r="54" spans="1:23" s="2" customFormat="1" x14ac:dyDescent="0.3">
      <c r="B54" s="53"/>
      <c r="C54" s="54"/>
      <c r="D54" s="54"/>
      <c r="E54" s="55"/>
      <c r="F54" s="17"/>
      <c r="G54" s="17"/>
      <c r="H54" s="53"/>
      <c r="I54" s="54"/>
      <c r="J54" s="54"/>
      <c r="K54" s="55"/>
    </row>
    <row r="55" spans="1:23" s="20" customFormat="1" x14ac:dyDescent="0.3">
      <c r="A55" s="19"/>
      <c r="B55" s="334">
        <v>2021</v>
      </c>
      <c r="C55" s="334"/>
      <c r="D55" s="334"/>
      <c r="E55" s="334"/>
      <c r="H55" s="334" t="s">
        <v>171</v>
      </c>
      <c r="I55" s="334"/>
      <c r="J55" s="334"/>
      <c r="K55" s="334"/>
      <c r="N55" s="334" t="s">
        <v>171</v>
      </c>
      <c r="O55" s="334"/>
      <c r="P55" s="334"/>
      <c r="Q55" s="334"/>
      <c r="T55" s="334" t="s">
        <v>171</v>
      </c>
      <c r="U55" s="334"/>
      <c r="V55" s="334"/>
      <c r="W55" s="334"/>
    </row>
    <row r="56" spans="1:23" x14ac:dyDescent="0.3">
      <c r="B56" s="40" t="s">
        <v>62</v>
      </c>
      <c r="C56" s="40"/>
      <c r="D56" s="40"/>
      <c r="E56" s="239">
        <f>(E18*12)+E18*D24/100</f>
        <v>54661.243468799999</v>
      </c>
      <c r="H56" s="40" t="s">
        <v>62</v>
      </c>
      <c r="I56" s="40"/>
      <c r="J56" s="40"/>
      <c r="K56" s="239">
        <f>(K18*12)+K18*J24/100</f>
        <v>56301.080772863992</v>
      </c>
      <c r="N56" s="40" t="s">
        <v>62</v>
      </c>
      <c r="O56" s="40"/>
      <c r="P56" s="40"/>
      <c r="Q56" s="239">
        <f>(Q18*12)+Q18*P24/100</f>
        <v>57990.113196049919</v>
      </c>
      <c r="T56" s="40" t="s">
        <v>62</v>
      </c>
      <c r="U56" s="40"/>
      <c r="V56" s="40"/>
      <c r="W56" s="239">
        <f>(W18*12)+W18*V24/100</f>
        <v>59729.816591931412</v>
      </c>
    </row>
    <row r="57" spans="1:23" x14ac:dyDescent="0.3">
      <c r="B57" s="33" t="s">
        <v>63</v>
      </c>
      <c r="C57" s="33"/>
      <c r="D57" s="33"/>
      <c r="E57" s="34">
        <f>(SUM(E19:E22)*12)+(SUM(E19:E22)*D24/100)</f>
        <v>16330.953119450562</v>
      </c>
      <c r="H57" s="33" t="s">
        <v>63</v>
      </c>
      <c r="I57" s="33"/>
      <c r="J57" s="33"/>
      <c r="K57" s="34">
        <f>(SUM(K19:K22)*12)+(SUM(K19:K22)*J24/100)</f>
        <v>16810.523539024078</v>
      </c>
      <c r="N57" s="33" t="s">
        <v>63</v>
      </c>
      <c r="O57" s="33"/>
      <c r="P57" s="33"/>
      <c r="Q57" s="34">
        <f>(SUM(Q19:Q22)*12)+(SUM(Q19:Q22)*P24/100)</f>
        <v>17304.481071184797</v>
      </c>
      <c r="T57" s="33" t="s">
        <v>63</v>
      </c>
      <c r="U57" s="33"/>
      <c r="V57" s="33"/>
      <c r="W57" s="34">
        <f>(SUM(W19:W22)*12)+(SUM(W19:W22)*V24/100)</f>
        <v>17813.257329310341</v>
      </c>
    </row>
    <row r="58" spans="1:23" x14ac:dyDescent="0.3">
      <c r="B58" s="33" t="s">
        <v>67</v>
      </c>
      <c r="C58" s="33"/>
      <c r="D58" s="33"/>
      <c r="E58" s="34">
        <f>E56/12</f>
        <v>4555.1036223999999</v>
      </c>
      <c r="H58" s="33" t="s">
        <v>67</v>
      </c>
      <c r="I58" s="33"/>
      <c r="J58" s="33"/>
      <c r="K58" s="34">
        <f>K56/12</f>
        <v>4691.7567310719996</v>
      </c>
      <c r="N58" s="33" t="s">
        <v>67</v>
      </c>
      <c r="O58" s="33"/>
      <c r="P58" s="33"/>
      <c r="Q58" s="34">
        <f>Q56/12</f>
        <v>4832.5094330041602</v>
      </c>
      <c r="T58" s="33" t="s">
        <v>67</v>
      </c>
      <c r="U58" s="33"/>
      <c r="V58" s="33"/>
      <c r="W58" s="34">
        <f>W56/12</f>
        <v>4977.4847159942847</v>
      </c>
    </row>
    <row r="59" spans="1:23" x14ac:dyDescent="0.3">
      <c r="B59" s="33" t="s">
        <v>68</v>
      </c>
      <c r="C59" s="33"/>
      <c r="D59" s="33"/>
      <c r="E59" s="34">
        <f>E57/12</f>
        <v>1360.9127599542135</v>
      </c>
      <c r="H59" s="33" t="s">
        <v>68</v>
      </c>
      <c r="I59" s="33"/>
      <c r="J59" s="33"/>
      <c r="K59" s="34">
        <f>K57/12</f>
        <v>1400.8769615853398</v>
      </c>
      <c r="N59" s="33" t="s">
        <v>68</v>
      </c>
      <c r="O59" s="33"/>
      <c r="P59" s="33"/>
      <c r="Q59" s="34">
        <f>Q57/12</f>
        <v>1442.0400892653997</v>
      </c>
      <c r="T59" s="33" t="s">
        <v>68</v>
      </c>
      <c r="U59" s="33"/>
      <c r="V59" s="33"/>
      <c r="W59" s="34">
        <f>W57/12</f>
        <v>1484.4381107758618</v>
      </c>
    </row>
    <row r="60" spans="1:23" x14ac:dyDescent="0.3">
      <c r="B60" s="33" t="s">
        <v>69</v>
      </c>
      <c r="C60" s="33"/>
      <c r="D60" s="33"/>
      <c r="E60" s="34">
        <f>E56/('Quelle '!R5*D6)</f>
        <v>33.128026344727274</v>
      </c>
      <c r="H60" s="33" t="s">
        <v>69</v>
      </c>
      <c r="I60" s="33"/>
      <c r="J60" s="33"/>
      <c r="K60" s="34">
        <f>K56/('Quelle '!R5*D6)</f>
        <v>34.121867135069088</v>
      </c>
      <c r="N60" s="33" t="s">
        <v>69</v>
      </c>
      <c r="O60" s="33"/>
      <c r="P60" s="33"/>
      <c r="Q60" s="119">
        <f>Q56/('Quelle '!R5*D6)</f>
        <v>35.145523149121161</v>
      </c>
      <c r="T60" s="33" t="s">
        <v>69</v>
      </c>
      <c r="U60" s="33"/>
      <c r="V60" s="33"/>
      <c r="W60" s="119">
        <f>W56/('Quelle '!R5*D6)</f>
        <v>36.199888843594792</v>
      </c>
    </row>
    <row r="61" spans="1:23" x14ac:dyDescent="0.3">
      <c r="B61" s="33" t="s">
        <v>70</v>
      </c>
      <c r="C61" s="33"/>
      <c r="D61" s="33"/>
      <c r="E61" s="34">
        <f>E57/('Quelle '!R5*D6)</f>
        <v>9.8975473451215521</v>
      </c>
      <c r="H61" s="33" t="s">
        <v>70</v>
      </c>
      <c r="I61" s="33"/>
      <c r="J61" s="33"/>
      <c r="K61" s="34">
        <f>K57/('Quelle '!R5*D6)</f>
        <v>10.188196084257017</v>
      </c>
      <c r="N61" s="33" t="s">
        <v>70</v>
      </c>
      <c r="O61" s="33"/>
      <c r="P61" s="33"/>
      <c r="Q61" s="119">
        <f>Q57/('Quelle '!R5*D6)</f>
        <v>10.487564285566544</v>
      </c>
      <c r="T61" s="33" t="s">
        <v>70</v>
      </c>
      <c r="U61" s="33"/>
      <c r="V61" s="33"/>
      <c r="W61" s="119">
        <f>W57/('Quelle '!R5*D6)</f>
        <v>10.795913532915359</v>
      </c>
    </row>
    <row r="62" spans="1:23" x14ac:dyDescent="0.3">
      <c r="B62" s="310"/>
      <c r="C62" s="301"/>
      <c r="D62" s="301"/>
      <c r="E62" s="302"/>
      <c r="H62" s="310"/>
      <c r="I62" s="301"/>
      <c r="J62" s="301"/>
      <c r="K62" s="302"/>
      <c r="N62" s="310"/>
      <c r="O62" s="301"/>
      <c r="P62" s="301"/>
      <c r="Q62" s="302"/>
      <c r="T62" s="310"/>
      <c r="U62" s="301"/>
      <c r="V62" s="301"/>
      <c r="W62" s="302"/>
    </row>
    <row r="63" spans="1:23" x14ac:dyDescent="0.3">
      <c r="B63" s="35" t="s">
        <v>49</v>
      </c>
      <c r="C63" s="33"/>
      <c r="D63" s="33"/>
      <c r="E63" s="33"/>
      <c r="H63" s="35" t="s">
        <v>49</v>
      </c>
      <c r="I63" s="33"/>
      <c r="J63" s="33"/>
      <c r="K63" s="33"/>
      <c r="N63" s="35" t="s">
        <v>49</v>
      </c>
      <c r="O63" s="33"/>
      <c r="P63" s="33"/>
      <c r="Q63" s="33"/>
      <c r="T63" s="35" t="s">
        <v>49</v>
      </c>
      <c r="U63" s="33"/>
      <c r="V63" s="33"/>
      <c r="W63" s="33"/>
    </row>
    <row r="64" spans="1:23" x14ac:dyDescent="0.3">
      <c r="B64" s="33" t="s">
        <v>50</v>
      </c>
      <c r="C64" s="33"/>
      <c r="D64" s="36">
        <f>'Quelle '!$S$21</f>
        <v>9.2999999999999999E-2</v>
      </c>
      <c r="E64" s="34">
        <f>D64*E18</f>
        <v>407.83103999999997</v>
      </c>
      <c r="H64" s="33" t="s">
        <v>50</v>
      </c>
      <c r="I64" s="33"/>
      <c r="J64" s="36">
        <f>'Quelle '!$S$21</f>
        <v>9.2999999999999999E-2</v>
      </c>
      <c r="K64" s="34">
        <f>J64*K18</f>
        <v>420.06597119999998</v>
      </c>
      <c r="N64" s="33" t="s">
        <v>50</v>
      </c>
      <c r="O64" s="33"/>
      <c r="P64" s="36">
        <f>'Quelle '!$S$21</f>
        <v>9.2999999999999999E-2</v>
      </c>
      <c r="Q64" s="34">
        <f>P64*Q18</f>
        <v>432.66795033599993</v>
      </c>
      <c r="T64" s="33" t="s">
        <v>50</v>
      </c>
      <c r="U64" s="33"/>
      <c r="V64" s="36">
        <f>'Quelle '!$S$21</f>
        <v>9.2999999999999999E-2</v>
      </c>
      <c r="W64" s="34">
        <f>V64*W18</f>
        <v>445.64798884607995</v>
      </c>
    </row>
    <row r="65" spans="2:23" x14ac:dyDescent="0.3">
      <c r="B65" s="33" t="s">
        <v>51</v>
      </c>
      <c r="C65" s="33"/>
      <c r="D65" s="36">
        <f>'Quelle '!$S$22</f>
        <v>1.2E-2</v>
      </c>
      <c r="E65" s="34">
        <f>D65*E18</f>
        <v>52.623359999999998</v>
      </c>
      <c r="H65" s="33" t="s">
        <v>51</v>
      </c>
      <c r="I65" s="33"/>
      <c r="J65" s="36">
        <f>'Quelle '!$S$22</f>
        <v>1.2E-2</v>
      </c>
      <c r="K65" s="34">
        <f>J65*K18</f>
        <v>54.202060799999998</v>
      </c>
      <c r="N65" s="33" t="s">
        <v>51</v>
      </c>
      <c r="O65" s="33"/>
      <c r="P65" s="36">
        <f>'Quelle '!$S$22</f>
        <v>1.2E-2</v>
      </c>
      <c r="Q65" s="34">
        <f>P65*Q18</f>
        <v>55.828122623999995</v>
      </c>
      <c r="T65" s="33" t="s">
        <v>51</v>
      </c>
      <c r="U65" s="33"/>
      <c r="V65" s="36">
        <f>'Quelle '!$S$22</f>
        <v>1.2E-2</v>
      </c>
      <c r="W65" s="34">
        <f>V65*W18</f>
        <v>57.502966302719997</v>
      </c>
    </row>
    <row r="66" spans="2:23" x14ac:dyDescent="0.3">
      <c r="B66" s="33" t="s">
        <v>52</v>
      </c>
      <c r="C66" s="33"/>
      <c r="D66" s="36">
        <f>'Quelle '!$S$23</f>
        <v>7.9000000000000001E-2</v>
      </c>
      <c r="E66" s="34">
        <f>D66*E18</f>
        <v>346.43711999999999</v>
      </c>
      <c r="H66" s="33" t="s">
        <v>52</v>
      </c>
      <c r="I66" s="33"/>
      <c r="J66" s="36">
        <f>'Quelle '!$S$23</f>
        <v>7.9000000000000001E-2</v>
      </c>
      <c r="K66" s="34">
        <f>J66*K18</f>
        <v>356.83023359999999</v>
      </c>
      <c r="N66" s="33" t="s">
        <v>52</v>
      </c>
      <c r="O66" s="33"/>
      <c r="P66" s="36">
        <f>'Quelle '!$S$23</f>
        <v>7.9000000000000001E-2</v>
      </c>
      <c r="Q66" s="34">
        <f>P66*Q18</f>
        <v>367.53514060799995</v>
      </c>
      <c r="T66" s="33" t="s">
        <v>52</v>
      </c>
      <c r="U66" s="33"/>
      <c r="V66" s="36">
        <f>'Quelle '!$S$23</f>
        <v>7.9000000000000001E-2</v>
      </c>
      <c r="W66" s="34">
        <f>V66*W18</f>
        <v>378.56119482623996</v>
      </c>
    </row>
    <row r="67" spans="2:23" x14ac:dyDescent="0.3">
      <c r="B67" s="33" t="s">
        <v>53</v>
      </c>
      <c r="C67" s="33"/>
      <c r="D67" s="36">
        <f>'Quelle '!$S$24</f>
        <v>1.525E-2</v>
      </c>
      <c r="E67" s="34">
        <f>D67*E18</f>
        <v>66.875519999999995</v>
      </c>
      <c r="H67" s="33" t="s">
        <v>53</v>
      </c>
      <c r="I67" s="33"/>
      <c r="J67" s="36">
        <f>'Quelle '!$S$24</f>
        <v>1.525E-2</v>
      </c>
      <c r="K67" s="34">
        <f>J67*K18</f>
        <v>68.881785599999986</v>
      </c>
      <c r="N67" s="33" t="s">
        <v>53</v>
      </c>
      <c r="O67" s="33"/>
      <c r="P67" s="36">
        <f>'Quelle '!$S$24</f>
        <v>1.525E-2</v>
      </c>
      <c r="Q67" s="34">
        <f>P67*Q18</f>
        <v>70.948239167999986</v>
      </c>
      <c r="T67" s="33" t="s">
        <v>53</v>
      </c>
      <c r="U67" s="33"/>
      <c r="V67" s="36">
        <f>'Quelle '!$S$24</f>
        <v>1.525E-2</v>
      </c>
      <c r="W67" s="34">
        <f>V67*W18</f>
        <v>73.076686343039995</v>
      </c>
    </row>
    <row r="68" spans="2:23" x14ac:dyDescent="0.3">
      <c r="B68" s="33" t="s">
        <v>185</v>
      </c>
      <c r="C68" s="33"/>
      <c r="D68" s="36">
        <f>'Quelle '!$S$25</f>
        <v>2.75E-2</v>
      </c>
      <c r="E68" s="34">
        <f>D68*E18</f>
        <v>120.59519999999999</v>
      </c>
      <c r="H68" s="33" t="s">
        <v>185</v>
      </c>
      <c r="I68" s="33"/>
      <c r="J68" s="36">
        <f>'Quelle '!$S$25</f>
        <v>2.75E-2</v>
      </c>
      <c r="K68" s="34">
        <f>J68*K18</f>
        <v>124.21305599999999</v>
      </c>
      <c r="N68" s="33" t="s">
        <v>185</v>
      </c>
      <c r="O68" s="33"/>
      <c r="P68" s="36">
        <f>'Quelle '!$S$25</f>
        <v>2.75E-2</v>
      </c>
      <c r="Q68" s="34">
        <f>P68*Q18</f>
        <v>127.93944767999999</v>
      </c>
      <c r="T68" s="33" t="s">
        <v>185</v>
      </c>
      <c r="U68" s="33"/>
      <c r="V68" s="36">
        <f>'Quelle '!$S$25</f>
        <v>2.75E-2</v>
      </c>
      <c r="W68" s="34">
        <f>V68*W18</f>
        <v>131.77763111039999</v>
      </c>
    </row>
    <row r="69" spans="2:23" x14ac:dyDescent="0.3">
      <c r="B69" s="37" t="s">
        <v>55</v>
      </c>
      <c r="C69" s="33"/>
      <c r="D69" s="36">
        <f>'Quelle '!$S$26</f>
        <v>1.1999999999999999E-3</v>
      </c>
      <c r="E69" s="34">
        <f>D69*E18</f>
        <v>5.2623359999999995</v>
      </c>
      <c r="H69" s="37" t="s">
        <v>55</v>
      </c>
      <c r="I69" s="33"/>
      <c r="J69" s="36">
        <f>'Quelle '!$S$26</f>
        <v>1.1999999999999999E-3</v>
      </c>
      <c r="K69" s="34">
        <f>J69*K18</f>
        <v>5.4202060799999989</v>
      </c>
      <c r="N69" s="37" t="s">
        <v>55</v>
      </c>
      <c r="O69" s="33"/>
      <c r="P69" s="36">
        <f>'Quelle '!$S$26</f>
        <v>1.1999999999999999E-3</v>
      </c>
      <c r="Q69" s="34">
        <f>P69*Q18</f>
        <v>5.5828122623999992</v>
      </c>
      <c r="T69" s="37" t="s">
        <v>55</v>
      </c>
      <c r="U69" s="33"/>
      <c r="V69" s="36">
        <f>'Quelle '!$S$26</f>
        <v>1.1999999999999999E-3</v>
      </c>
      <c r="W69" s="34">
        <f>V69*W18</f>
        <v>5.7502966302719987</v>
      </c>
    </row>
    <row r="70" spans="2:23" x14ac:dyDescent="0.3">
      <c r="B70" s="38" t="s">
        <v>56</v>
      </c>
      <c r="C70" s="33"/>
      <c r="D70" s="36">
        <f>SUM(D64:D69)</f>
        <v>0.22794999999999999</v>
      </c>
      <c r="E70" s="39">
        <f>D70*E18</f>
        <v>999.62457599999993</v>
      </c>
      <c r="H70" s="38" t="s">
        <v>56</v>
      </c>
      <c r="I70" s="33"/>
      <c r="J70" s="36">
        <f>SUM(J64:J69)</f>
        <v>0.22794999999999999</v>
      </c>
      <c r="K70" s="39">
        <f>J70*K18</f>
        <v>1029.6133132799998</v>
      </c>
      <c r="N70" s="38" t="s">
        <v>56</v>
      </c>
      <c r="O70" s="33"/>
      <c r="P70" s="36">
        <f>SUM(P64:P69)</f>
        <v>0.22794999999999999</v>
      </c>
      <c r="Q70" s="39">
        <f>P70*Q18</f>
        <v>1060.5017126783998</v>
      </c>
      <c r="T70" s="38" t="s">
        <v>56</v>
      </c>
      <c r="U70" s="33"/>
      <c r="V70" s="36">
        <f>SUM(V64:V69)</f>
        <v>0.22794999999999999</v>
      </c>
      <c r="W70" s="39">
        <f>V70*W18</f>
        <v>1092.3167640587519</v>
      </c>
    </row>
    <row r="72" spans="2:23" x14ac:dyDescent="0.3">
      <c r="B72" t="s">
        <v>45</v>
      </c>
    </row>
    <row r="73" spans="2:23" x14ac:dyDescent="0.3">
      <c r="B73" t="s">
        <v>46</v>
      </c>
    </row>
    <row r="74" spans="2:23" x14ac:dyDescent="0.3">
      <c r="B74" t="s">
        <v>47</v>
      </c>
    </row>
    <row r="75" spans="2:23" x14ac:dyDescent="0.3">
      <c r="B75" t="s">
        <v>48</v>
      </c>
    </row>
    <row r="76" spans="2:23" x14ac:dyDescent="0.3">
      <c r="B76" t="s">
        <v>189</v>
      </c>
    </row>
  </sheetData>
  <mergeCells count="33">
    <mergeCell ref="N26:P26"/>
    <mergeCell ref="H27:J27"/>
    <mergeCell ref="T27:V27"/>
    <mergeCell ref="K3:P7"/>
    <mergeCell ref="N55:Q55"/>
    <mergeCell ref="N62:Q62"/>
    <mergeCell ref="T55:W55"/>
    <mergeCell ref="T62:W62"/>
    <mergeCell ref="T10:U10"/>
    <mergeCell ref="T13:W13"/>
    <mergeCell ref="T15:U15"/>
    <mergeCell ref="T25:V25"/>
    <mergeCell ref="T26:V26"/>
    <mergeCell ref="N10:O10"/>
    <mergeCell ref="N13:Q13"/>
    <mergeCell ref="N15:O15"/>
    <mergeCell ref="N25:P25"/>
    <mergeCell ref="B62:E62"/>
    <mergeCell ref="B26:D26"/>
    <mergeCell ref="B27:D27"/>
    <mergeCell ref="N27:P27"/>
    <mergeCell ref="H10:I10"/>
    <mergeCell ref="H13:K13"/>
    <mergeCell ref="B10:C10"/>
    <mergeCell ref="B55:E55"/>
    <mergeCell ref="B15:C15"/>
    <mergeCell ref="B25:D25"/>
    <mergeCell ref="B13:E13"/>
    <mergeCell ref="H55:K55"/>
    <mergeCell ref="H62:K62"/>
    <mergeCell ref="H15:I15"/>
    <mergeCell ref="H25:J25"/>
    <mergeCell ref="H26:J26"/>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'Quelle '!$B$6:$G$6</xm:f>
          </x14:formula1>
          <xm:sqref>D10</xm:sqref>
        </x14:dataValidation>
        <x14:dataValidation type="list" allowBlank="1" showInputMessage="1" showErrorMessage="1">
          <x14:formula1>
            <xm:f>'Quelle '!$A$8:$A$26</xm:f>
          </x14:formula1>
          <xm:sqref>B10</xm:sqref>
        </x14:dataValidation>
        <x14:dataValidation type="list" allowBlank="1" showInputMessage="1" showErrorMessage="1">
          <x14:formula1>
            <xm:f>'Quelle '!$A$35:$A$53</xm:f>
          </x14:formula1>
          <xm:sqref>H10:I10</xm:sqref>
        </x14:dataValidation>
        <x14:dataValidation type="list" allowBlank="1" showInputMessage="1" showErrorMessage="1">
          <x14:formula1>
            <xm:f>'Quelle '!$A$35:$A$53</xm:f>
          </x14:formula1>
          <xm:sqref>N10:O10</xm:sqref>
        </x14:dataValidation>
        <x14:dataValidation type="list" allowBlank="1" showInputMessage="1" showErrorMessage="1">
          <x14:formula1>
            <xm:f>'Quelle '!$A$35:$A$53</xm:f>
          </x14:formula1>
          <xm:sqref>T10:U10</xm:sqref>
        </x14:dataValidation>
        <x14:dataValidation type="list" allowBlank="1" showInputMessage="1" showErrorMessage="1">
          <x14:formula1>
            <xm:f>'Quelle '!$B$33:$G$33</xm:f>
          </x14:formula1>
          <xm:sqref>J10</xm:sqref>
        </x14:dataValidation>
        <x14:dataValidation type="list" allowBlank="1" showInputMessage="1" showErrorMessage="1">
          <x14:formula1>
            <xm:f>'Quelle '!$B$33:$G$33</xm:f>
          </x14:formula1>
          <xm:sqref>P10</xm:sqref>
        </x14:dataValidation>
        <x14:dataValidation type="list" allowBlank="1" showInputMessage="1" showErrorMessage="1">
          <x14:formula1>
            <xm:f>'Quelle '!$B$33:$G$33</xm:f>
          </x14:formula1>
          <xm:sqref>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F22" zoomScaleNormal="100" workbookViewId="0">
      <selection activeCell="U40" sqref="U40"/>
    </sheetView>
  </sheetViews>
  <sheetFormatPr baseColWidth="10" defaultRowHeight="14.4" x14ac:dyDescent="0.3"/>
  <cols>
    <col min="1" max="1" width="19" customWidth="1"/>
    <col min="3" max="3" width="17.5546875" customWidth="1"/>
    <col min="5" max="5" width="20.6640625" customWidth="1"/>
    <col min="8" max="8" width="20.109375" customWidth="1"/>
    <col min="9" max="9" width="12.5546875" customWidth="1"/>
    <col min="10" max="10" width="19" customWidth="1"/>
    <col min="13" max="13" width="17.44140625" customWidth="1"/>
  </cols>
  <sheetData>
    <row r="1" spans="1:20" ht="21" x14ac:dyDescent="0.4">
      <c r="A1" s="241" t="s">
        <v>192</v>
      </c>
      <c r="B1" s="3" t="s">
        <v>120</v>
      </c>
      <c r="E1" s="1" t="s">
        <v>121</v>
      </c>
    </row>
    <row r="2" spans="1:20" ht="10.199999999999999" customHeight="1" thickBot="1" x14ac:dyDescent="0.45">
      <c r="A2" s="241"/>
      <c r="B2" s="3"/>
      <c r="E2" s="1"/>
    </row>
    <row r="3" spans="1:20" ht="21.6" thickBot="1" x14ac:dyDescent="0.45">
      <c r="A3" s="241"/>
      <c r="B3" s="264" t="s">
        <v>113</v>
      </c>
      <c r="C3" s="265"/>
      <c r="D3" s="265"/>
      <c r="E3" s="265"/>
      <c r="F3" s="265"/>
      <c r="G3" s="265"/>
      <c r="H3" s="266"/>
      <c r="J3" s="325" t="s">
        <v>200</v>
      </c>
      <c r="K3" s="325"/>
      <c r="L3" s="325"/>
      <c r="M3" s="325"/>
      <c r="N3" s="325"/>
      <c r="O3" s="325"/>
    </row>
    <row r="4" spans="1:20" ht="15" thickBot="1" x14ac:dyDescent="0.35">
      <c r="A4" s="241"/>
      <c r="B4" s="267" t="s">
        <v>151</v>
      </c>
      <c r="C4" s="268"/>
      <c r="D4" s="268"/>
      <c r="E4" s="268"/>
      <c r="F4" s="268"/>
      <c r="G4" s="268"/>
      <c r="H4" s="269"/>
      <c r="J4" s="325"/>
      <c r="K4" s="325"/>
      <c r="L4" s="325"/>
      <c r="M4" s="325"/>
      <c r="N4" s="325"/>
      <c r="O4" s="325"/>
    </row>
    <row r="5" spans="1:20" ht="21" x14ac:dyDescent="0.4">
      <c r="A5" s="1"/>
      <c r="B5" s="153"/>
      <c r="J5" s="325"/>
      <c r="K5" s="325"/>
      <c r="L5" s="325"/>
      <c r="M5" s="325"/>
      <c r="N5" s="325"/>
      <c r="O5" s="325"/>
    </row>
    <row r="6" spans="1:20" ht="15" thickBot="1" x14ac:dyDescent="0.35">
      <c r="J6" s="325"/>
      <c r="K6" s="325"/>
      <c r="L6" s="325"/>
      <c r="M6" s="325"/>
      <c r="N6" s="325"/>
      <c r="O6" s="325"/>
    </row>
    <row r="7" spans="1:20" ht="15" thickBot="1" x14ac:dyDescent="0.35">
      <c r="A7" s="1" t="s">
        <v>36</v>
      </c>
      <c r="B7" t="s">
        <v>37</v>
      </c>
      <c r="C7" s="18">
        <v>1</v>
      </c>
      <c r="F7" s="1"/>
      <c r="J7" s="325"/>
      <c r="K7" s="325"/>
      <c r="L7" s="325"/>
      <c r="M7" s="325"/>
      <c r="N7" s="325"/>
      <c r="O7" s="325"/>
    </row>
    <row r="8" spans="1:20" x14ac:dyDescent="0.3">
      <c r="B8" t="s">
        <v>184</v>
      </c>
    </row>
    <row r="10" spans="1:20" ht="15" thickBot="1" x14ac:dyDescent="0.35">
      <c r="B10" s="1" t="s">
        <v>9</v>
      </c>
      <c r="C10" s="1"/>
      <c r="D10" s="1" t="s">
        <v>38</v>
      </c>
      <c r="G10" s="1" t="s">
        <v>9</v>
      </c>
      <c r="I10" s="1" t="s">
        <v>38</v>
      </c>
      <c r="L10" s="1" t="s">
        <v>9</v>
      </c>
      <c r="N10" s="1" t="s">
        <v>38</v>
      </c>
      <c r="Q10" s="1" t="s">
        <v>9</v>
      </c>
      <c r="S10" s="1" t="s">
        <v>38</v>
      </c>
    </row>
    <row r="11" spans="1:20" ht="15" thickBot="1" x14ac:dyDescent="0.35">
      <c r="B11" s="298" t="s">
        <v>19</v>
      </c>
      <c r="C11" s="299"/>
      <c r="D11" s="48" t="s">
        <v>3</v>
      </c>
      <c r="G11" s="215" t="s">
        <v>19</v>
      </c>
      <c r="H11" s="216"/>
      <c r="I11" s="48" t="s">
        <v>3</v>
      </c>
      <c r="L11" s="257" t="s">
        <v>19</v>
      </c>
      <c r="M11" s="258"/>
      <c r="N11" s="48" t="s">
        <v>3</v>
      </c>
      <c r="Q11" s="257" t="s">
        <v>19</v>
      </c>
      <c r="R11" s="258"/>
      <c r="S11" s="48" t="s">
        <v>3</v>
      </c>
    </row>
    <row r="14" spans="1:20" ht="26.4" thickBot="1" x14ac:dyDescent="0.55000000000000004">
      <c r="B14" s="21"/>
      <c r="C14" s="22">
        <v>2021</v>
      </c>
      <c r="D14" s="23"/>
      <c r="E14" s="24"/>
      <c r="G14" s="319" t="s">
        <v>182</v>
      </c>
      <c r="H14" s="320"/>
      <c r="I14" s="320"/>
      <c r="J14" s="321"/>
      <c r="K14" s="242"/>
      <c r="L14" s="319" t="s">
        <v>201</v>
      </c>
      <c r="M14" s="320"/>
      <c r="N14" s="320"/>
      <c r="O14" s="321"/>
      <c r="Q14" s="319" t="s">
        <v>202</v>
      </c>
      <c r="R14" s="320"/>
      <c r="S14" s="320"/>
      <c r="T14" s="321"/>
    </row>
    <row r="15" spans="1:20" x14ac:dyDescent="0.3">
      <c r="B15" s="19"/>
      <c r="C15" s="20"/>
      <c r="D15" s="27"/>
      <c r="E15" s="32" t="s">
        <v>44</v>
      </c>
      <c r="G15" s="19"/>
      <c r="H15" s="20"/>
      <c r="I15" s="27"/>
      <c r="J15" s="32" t="s">
        <v>44</v>
      </c>
      <c r="K15" s="242"/>
      <c r="L15" s="19"/>
      <c r="M15" s="20"/>
      <c r="N15" s="27"/>
      <c r="O15" s="32" t="s">
        <v>44</v>
      </c>
      <c r="Q15" s="19"/>
      <c r="R15" s="20"/>
      <c r="S15" s="27"/>
      <c r="T15" s="32" t="s">
        <v>44</v>
      </c>
    </row>
    <row r="16" spans="1:20" x14ac:dyDescent="0.3">
      <c r="B16" s="311" t="s">
        <v>40</v>
      </c>
      <c r="C16" s="312"/>
      <c r="D16" s="29"/>
      <c r="E16" s="28" t="str">
        <f>B11</f>
        <v xml:space="preserve">E 13 </v>
      </c>
      <c r="G16" s="210" t="s">
        <v>40</v>
      </c>
      <c r="H16" s="211"/>
      <c r="I16" s="29"/>
      <c r="J16" s="28" t="str">
        <f>G11</f>
        <v xml:space="preserve">E 13 </v>
      </c>
      <c r="K16" s="242"/>
      <c r="L16" s="246" t="s">
        <v>40</v>
      </c>
      <c r="M16" s="247"/>
      <c r="N16" s="29"/>
      <c r="O16" s="28" t="str">
        <f>L11</f>
        <v xml:space="preserve">E 13 </v>
      </c>
      <c r="Q16" s="246" t="s">
        <v>40</v>
      </c>
      <c r="R16" s="247"/>
      <c r="S16" s="29"/>
      <c r="T16" s="28" t="str">
        <f>Q11</f>
        <v xml:space="preserve">E 13 </v>
      </c>
    </row>
    <row r="17" spans="2:20" x14ac:dyDescent="0.3">
      <c r="B17" s="19"/>
      <c r="C17" s="20"/>
      <c r="D17" s="28"/>
      <c r="E17" s="28" t="str">
        <f>D11</f>
        <v>Stufe 2</v>
      </c>
      <c r="G17" s="19"/>
      <c r="H17" s="20"/>
      <c r="I17" s="28"/>
      <c r="J17" s="28" t="str">
        <f>I11</f>
        <v>Stufe 2</v>
      </c>
      <c r="K17" s="242"/>
      <c r="L17" s="19"/>
      <c r="M17" s="20"/>
      <c r="N17" s="28"/>
      <c r="O17" s="28" t="str">
        <f>N11</f>
        <v>Stufe 2</v>
      </c>
      <c r="Q17" s="19"/>
      <c r="R17" s="20"/>
      <c r="S17" s="28"/>
      <c r="T17" s="28" t="str">
        <f>S11</f>
        <v>Stufe 2</v>
      </c>
    </row>
    <row r="18" spans="2:20" ht="15" thickBot="1" x14ac:dyDescent="0.35">
      <c r="B18" s="25"/>
      <c r="C18" s="26"/>
      <c r="D18" s="47" t="s">
        <v>65</v>
      </c>
      <c r="E18" s="47" t="s">
        <v>66</v>
      </c>
      <c r="G18" s="25"/>
      <c r="H18" s="26"/>
      <c r="I18" s="47" t="s">
        <v>65</v>
      </c>
      <c r="J18" s="47" t="s">
        <v>66</v>
      </c>
      <c r="K18" s="242"/>
      <c r="L18" s="25"/>
      <c r="M18" s="26"/>
      <c r="N18" s="47" t="s">
        <v>65</v>
      </c>
      <c r="O18" s="47" t="s">
        <v>66</v>
      </c>
      <c r="Q18" s="25"/>
      <c r="R18" s="26"/>
      <c r="S18" s="47" t="s">
        <v>65</v>
      </c>
      <c r="T18" s="47" t="s">
        <v>66</v>
      </c>
    </row>
    <row r="19" spans="2:20" x14ac:dyDescent="0.3">
      <c r="B19" s="44" t="s">
        <v>41</v>
      </c>
      <c r="C19" s="45"/>
      <c r="D19" s="46"/>
      <c r="E19" s="30">
        <f>INDEX('Quelle '!A5:H26,MATCH('EU H2020'!B11,'Quelle '!A5:A26,0),MATCH(D11,'Quelle '!A6:G6))*'EU H2020'!C7</f>
        <v>4385.28</v>
      </c>
      <c r="G19" s="44" t="s">
        <v>41</v>
      </c>
      <c r="H19" s="45"/>
      <c r="I19" s="46"/>
      <c r="J19" s="30">
        <f>INDEX('Quelle '!A33:H53,MATCH('EU H2020'!G11,'Quelle '!A33:A53,0),MATCH('EU H2020'!I11,'Quelle '!A33:G33))*'EU H2020'!C7</f>
        <v>4516.8383999999996</v>
      </c>
      <c r="K19" s="242"/>
      <c r="L19" s="44" t="s">
        <v>41</v>
      </c>
      <c r="M19" s="45"/>
      <c r="N19" s="46"/>
      <c r="O19" s="271">
        <f>INDEX('Quelle '!A60:G80,MATCH('EU H2020'!L11,'Quelle '!A60:A80,0),MATCH('EU H2020'!N11,'Quelle '!A60:G60))*'EU H2020'!C7</f>
        <v>4652.3435519999994</v>
      </c>
      <c r="Q19" s="44" t="s">
        <v>41</v>
      </c>
      <c r="R19" s="45"/>
      <c r="S19" s="46"/>
      <c r="T19" s="271">
        <f>INDEX('Quelle '!A87:G107,MATCH('EU H2020'!Q11,'Quelle '!A87:A107,0),MATCH('EU H2020'!S11,'Quelle '!A87:G87))*'EU H2020'!C7</f>
        <v>4791.9138585599994</v>
      </c>
    </row>
    <row r="20" spans="2:20" x14ac:dyDescent="0.3">
      <c r="B20" s="33" t="s">
        <v>57</v>
      </c>
      <c r="C20" s="33"/>
      <c r="D20" s="36">
        <f>D44</f>
        <v>0.22794999999999999</v>
      </c>
      <c r="E20" s="34">
        <f>E44</f>
        <v>999.62457599999993</v>
      </c>
      <c r="G20" s="33" t="s">
        <v>57</v>
      </c>
      <c r="H20" s="33"/>
      <c r="I20" s="36">
        <f>I44</f>
        <v>0.22794999999999999</v>
      </c>
      <c r="J20" s="34">
        <f>J44</f>
        <v>1029.6133132799998</v>
      </c>
      <c r="K20" s="242"/>
      <c r="L20" s="33" t="s">
        <v>57</v>
      </c>
      <c r="M20" s="33"/>
      <c r="N20" s="36">
        <f>N44</f>
        <v>0.22794999999999999</v>
      </c>
      <c r="O20" s="34">
        <f>O44</f>
        <v>1060.5017126783998</v>
      </c>
      <c r="Q20" s="33" t="s">
        <v>57</v>
      </c>
      <c r="R20" s="33"/>
      <c r="S20" s="36">
        <f>S44</f>
        <v>0.22794999999999999</v>
      </c>
      <c r="T20" s="34">
        <f>T44</f>
        <v>1092.3167640587519</v>
      </c>
    </row>
    <row r="21" spans="2:20" x14ac:dyDescent="0.3">
      <c r="B21" s="33" t="s">
        <v>42</v>
      </c>
      <c r="C21" s="33"/>
      <c r="D21" s="36">
        <v>6.4500000000000002E-2</v>
      </c>
      <c r="E21" s="34">
        <f>D21*E19</f>
        <v>282.85055999999997</v>
      </c>
      <c r="G21" s="33" t="s">
        <v>42</v>
      </c>
      <c r="H21" s="33"/>
      <c r="I21" s="36">
        <v>6.4500000000000002E-2</v>
      </c>
      <c r="J21" s="34">
        <f>I21*J19</f>
        <v>291.3360768</v>
      </c>
      <c r="K21" s="242"/>
      <c r="L21" s="33" t="s">
        <v>42</v>
      </c>
      <c r="M21" s="33"/>
      <c r="N21" s="36">
        <v>6.4500000000000002E-2</v>
      </c>
      <c r="O21" s="34">
        <f>N21*O19</f>
        <v>300.07615910399994</v>
      </c>
      <c r="Q21" s="33" t="s">
        <v>42</v>
      </c>
      <c r="R21" s="33"/>
      <c r="S21" s="36">
        <v>6.4500000000000002E-2</v>
      </c>
      <c r="T21" s="34">
        <f>S21*T19</f>
        <v>309.07844387711998</v>
      </c>
    </row>
    <row r="22" spans="2:20" x14ac:dyDescent="0.3">
      <c r="B22" s="33" t="s">
        <v>58</v>
      </c>
      <c r="C22" s="33"/>
      <c r="D22" s="33"/>
      <c r="E22" s="34">
        <v>6.65</v>
      </c>
      <c r="G22" s="33" t="s">
        <v>58</v>
      </c>
      <c r="H22" s="33"/>
      <c r="I22" s="33"/>
      <c r="J22" s="34">
        <v>6.65</v>
      </c>
      <c r="K22" s="242"/>
      <c r="L22" s="33" t="s">
        <v>58</v>
      </c>
      <c r="M22" s="33"/>
      <c r="N22" s="33"/>
      <c r="O22" s="34">
        <v>6.65</v>
      </c>
      <c r="Q22" s="33" t="s">
        <v>58</v>
      </c>
      <c r="R22" s="33"/>
      <c r="S22" s="33"/>
      <c r="T22" s="34">
        <v>6.65</v>
      </c>
    </row>
    <row r="23" spans="2:20" x14ac:dyDescent="0.3">
      <c r="B23" s="33" t="s">
        <v>43</v>
      </c>
      <c r="C23" s="33"/>
      <c r="D23" s="33"/>
      <c r="E23" s="34">
        <v>21.05</v>
      </c>
      <c r="G23" s="33" t="s">
        <v>43</v>
      </c>
      <c r="H23" s="33"/>
      <c r="I23" s="33"/>
      <c r="J23" s="34">
        <v>21.05</v>
      </c>
      <c r="K23" s="242"/>
      <c r="L23" s="33" t="s">
        <v>43</v>
      </c>
      <c r="M23" s="33"/>
      <c r="N23" s="33"/>
      <c r="O23" s="34">
        <v>21.05</v>
      </c>
      <c r="Q23" s="33" t="s">
        <v>43</v>
      </c>
      <c r="R23" s="33"/>
      <c r="S23" s="33"/>
      <c r="T23" s="34">
        <v>21.05</v>
      </c>
    </row>
    <row r="24" spans="2:20" x14ac:dyDescent="0.3">
      <c r="B24" s="16" t="s">
        <v>59</v>
      </c>
      <c r="C24" s="16"/>
      <c r="D24" s="16"/>
      <c r="E24" s="50">
        <f>SUM(E19:E23)</f>
        <v>5695.4551359999996</v>
      </c>
      <c r="G24" s="16" t="s">
        <v>59</v>
      </c>
      <c r="H24" s="16"/>
      <c r="I24" s="16"/>
      <c r="J24" s="50">
        <f>SUM(J19:J23)</f>
        <v>5865.4877900799993</v>
      </c>
      <c r="K24" s="242"/>
      <c r="L24" s="16" t="s">
        <v>59</v>
      </c>
      <c r="M24" s="16"/>
      <c r="N24" s="16"/>
      <c r="O24" s="50">
        <f>SUM(O19:O23)</f>
        <v>6040.6214237823988</v>
      </c>
      <c r="Q24" s="16" t="s">
        <v>59</v>
      </c>
      <c r="R24" s="16"/>
      <c r="S24" s="16"/>
      <c r="T24" s="50">
        <f>SUM(T19:T23)</f>
        <v>6221.0090664958707</v>
      </c>
    </row>
    <row r="25" spans="2:20" ht="15" thickBot="1" x14ac:dyDescent="0.35">
      <c r="B25" s="41" t="s">
        <v>64</v>
      </c>
      <c r="C25" s="41"/>
      <c r="D25" s="42">
        <f>VLOOKUP(B11,'Quelle '!A5:H26,8,)*100</f>
        <v>46.471000000000004</v>
      </c>
      <c r="E25" s="43">
        <f>E24*D25/100</f>
        <v>2646.7349562505597</v>
      </c>
      <c r="G25" s="41" t="s">
        <v>64</v>
      </c>
      <c r="H25" s="41"/>
      <c r="I25" s="42">
        <f>VLOOKUP(G11,'Quelle '!A33:H53,8,)*100</f>
        <v>46.471000000000004</v>
      </c>
      <c r="J25" s="43">
        <f>J24*I25/100</f>
        <v>2725.7508309280765</v>
      </c>
      <c r="K25" s="242"/>
      <c r="L25" s="41" t="s">
        <v>64</v>
      </c>
      <c r="M25" s="41"/>
      <c r="N25" s="42">
        <f>VLOOKUP(L11,'Quelle '!A60:H80,8,)*100</f>
        <v>46.471000000000004</v>
      </c>
      <c r="O25" s="43">
        <f>O24*N25/100</f>
        <v>2807.1371818459183</v>
      </c>
      <c r="Q25" s="41" t="s">
        <v>64</v>
      </c>
      <c r="R25" s="41"/>
      <c r="S25" s="42">
        <f>VLOOKUP(Q11,'Quelle '!A87:H107,8,)*100</f>
        <v>46.471000000000004</v>
      </c>
      <c r="T25" s="43">
        <f>T24*S25/100</f>
        <v>2890.9651232912961</v>
      </c>
    </row>
    <row r="26" spans="2:20" ht="15" thickBot="1" x14ac:dyDescent="0.35">
      <c r="B26" s="313" t="s">
        <v>71</v>
      </c>
      <c r="C26" s="314"/>
      <c r="D26" s="315"/>
      <c r="E26" s="31">
        <f>E34+E35</f>
        <v>41.274532900145672</v>
      </c>
      <c r="G26" s="212" t="s">
        <v>71</v>
      </c>
      <c r="H26" s="213"/>
      <c r="I26" s="214"/>
      <c r="J26" s="31">
        <f>J34+J35</f>
        <v>42.506746692958181</v>
      </c>
      <c r="L26" s="248" t="s">
        <v>71</v>
      </c>
      <c r="M26" s="249"/>
      <c r="N26" s="250"/>
      <c r="O26" s="31">
        <f>O34+O35</f>
        <v>43.775926899555074</v>
      </c>
      <c r="Q26" s="248" t="s">
        <v>71</v>
      </c>
      <c r="R26" s="249"/>
      <c r="S26" s="250"/>
      <c r="T26" s="31">
        <f>T34+T35</f>
        <v>45.083182512349858</v>
      </c>
    </row>
    <row r="27" spans="2:20" ht="15" thickBot="1" x14ac:dyDescent="0.35">
      <c r="B27" s="304" t="s">
        <v>60</v>
      </c>
      <c r="C27" s="305"/>
      <c r="D27" s="306"/>
      <c r="E27" s="51">
        <f>E24+(E25/12)</f>
        <v>5916.0163823542125</v>
      </c>
      <c r="G27" s="201" t="s">
        <v>60</v>
      </c>
      <c r="H27" s="202"/>
      <c r="I27" s="203"/>
      <c r="J27" s="51">
        <f>J24+(J25/12)</f>
        <v>6092.6336926573385</v>
      </c>
      <c r="L27" s="251" t="s">
        <v>60</v>
      </c>
      <c r="M27" s="252"/>
      <c r="N27" s="253"/>
      <c r="O27" s="51">
        <f>O24+(O25/12)</f>
        <v>6274.549522269559</v>
      </c>
      <c r="Q27" s="251" t="s">
        <v>60</v>
      </c>
      <c r="R27" s="252"/>
      <c r="S27" s="253"/>
      <c r="T27" s="51">
        <f>T24+(T25/12)</f>
        <v>6461.9228267701455</v>
      </c>
    </row>
    <row r="28" spans="2:20" ht="15" thickBot="1" x14ac:dyDescent="0.35">
      <c r="B28" s="304" t="s">
        <v>61</v>
      </c>
      <c r="C28" s="305"/>
      <c r="D28" s="306"/>
      <c r="E28" s="52">
        <f>(E24*12)+E25</f>
        <v>70992.196588250546</v>
      </c>
      <c r="G28" s="201" t="s">
        <v>61</v>
      </c>
      <c r="H28" s="202"/>
      <c r="I28" s="203"/>
      <c r="J28" s="52">
        <f>(J24*12)+J25</f>
        <v>73111.604311888077</v>
      </c>
      <c r="L28" s="251" t="s">
        <v>61</v>
      </c>
      <c r="M28" s="252"/>
      <c r="N28" s="253"/>
      <c r="O28" s="52">
        <f>(O24*12)+O25</f>
        <v>75294.594267234701</v>
      </c>
      <c r="Q28" s="251" t="s">
        <v>61</v>
      </c>
      <c r="R28" s="252"/>
      <c r="S28" s="253"/>
      <c r="T28" s="52">
        <f>(T24*12)+T25</f>
        <v>77543.073921241754</v>
      </c>
    </row>
    <row r="29" spans="2:20" x14ac:dyDescent="0.3">
      <c r="B29" s="307"/>
      <c r="C29" s="308"/>
      <c r="D29" s="308"/>
      <c r="E29" s="309"/>
      <c r="G29" s="207"/>
      <c r="H29" s="208"/>
      <c r="I29" s="208"/>
      <c r="J29" s="209"/>
      <c r="L29" s="254"/>
      <c r="M29" s="255"/>
      <c r="N29" s="255"/>
      <c r="O29" s="256"/>
      <c r="Q29" s="254"/>
      <c r="R29" s="255"/>
      <c r="S29" s="255"/>
      <c r="T29" s="256"/>
    </row>
    <row r="30" spans="2:20" x14ac:dyDescent="0.3">
      <c r="B30" s="40" t="s">
        <v>62</v>
      </c>
      <c r="C30" s="40"/>
      <c r="D30" s="40"/>
      <c r="E30" s="239">
        <f>(E19*12)+E19*D25/100</f>
        <v>54661.243468799999</v>
      </c>
      <c r="G30" s="40" t="s">
        <v>62</v>
      </c>
      <c r="H30" s="40"/>
      <c r="I30" s="40"/>
      <c r="J30" s="239">
        <f>(J19*12)+J19*I25/100</f>
        <v>56301.080772863992</v>
      </c>
      <c r="L30" s="40" t="s">
        <v>62</v>
      </c>
      <c r="M30" s="40"/>
      <c r="N30" s="40"/>
      <c r="O30" s="239">
        <f>(O19*12)+O19*N25/100</f>
        <v>57990.113196049919</v>
      </c>
      <c r="Q30" s="40" t="s">
        <v>62</v>
      </c>
      <c r="R30" s="40"/>
      <c r="S30" s="40"/>
      <c r="T30" s="239">
        <f>(T19*12)+T19*S25/100</f>
        <v>59729.816591931412</v>
      </c>
    </row>
    <row r="31" spans="2:20" x14ac:dyDescent="0.3">
      <c r="B31" s="33" t="s">
        <v>63</v>
      </c>
      <c r="C31" s="33"/>
      <c r="D31" s="33"/>
      <c r="E31" s="34">
        <f>(SUM(E20:E23)*12)+(SUM(E20:E23)*D25/100)</f>
        <v>16330.953119450562</v>
      </c>
      <c r="G31" s="33" t="s">
        <v>63</v>
      </c>
      <c r="H31" s="33"/>
      <c r="I31" s="33"/>
      <c r="J31" s="34">
        <f>(SUM(J20:J23)*12)+(SUM(J20:J23)*I25/100)</f>
        <v>16810.523539024078</v>
      </c>
      <c r="L31" s="33" t="s">
        <v>63</v>
      </c>
      <c r="M31" s="33"/>
      <c r="N31" s="33"/>
      <c r="O31" s="34">
        <f>(SUM(O20:O23)*12)+(SUM(O20:O23)*N25/100)</f>
        <v>17304.481071184797</v>
      </c>
      <c r="Q31" s="33" t="s">
        <v>63</v>
      </c>
      <c r="R31" s="33"/>
      <c r="S31" s="33"/>
      <c r="T31" s="34">
        <f>(SUM(T20:T23)*12)+(SUM(T20:T23)*S25/100)</f>
        <v>17813.257329310341</v>
      </c>
    </row>
    <row r="32" spans="2:20" x14ac:dyDescent="0.3">
      <c r="B32" s="33" t="s">
        <v>67</v>
      </c>
      <c r="C32" s="33"/>
      <c r="D32" s="33"/>
      <c r="E32" s="34">
        <f>E30/12</f>
        <v>4555.1036223999999</v>
      </c>
      <c r="G32" s="33" t="s">
        <v>67</v>
      </c>
      <c r="H32" s="33"/>
      <c r="I32" s="33"/>
      <c r="J32" s="34">
        <f>J30/12</f>
        <v>4691.7567310719996</v>
      </c>
      <c r="L32" s="33" t="s">
        <v>67</v>
      </c>
      <c r="M32" s="33"/>
      <c r="N32" s="33"/>
      <c r="O32" s="34">
        <f>O30/12</f>
        <v>4832.5094330041602</v>
      </c>
      <c r="Q32" s="33" t="s">
        <v>67</v>
      </c>
      <c r="R32" s="33"/>
      <c r="S32" s="33"/>
      <c r="T32" s="34">
        <f>T30/12</f>
        <v>4977.4847159942847</v>
      </c>
    </row>
    <row r="33" spans="2:20" x14ac:dyDescent="0.3">
      <c r="B33" s="33" t="s">
        <v>68</v>
      </c>
      <c r="C33" s="33"/>
      <c r="D33" s="33"/>
      <c r="E33" s="34">
        <f>E31/12</f>
        <v>1360.9127599542135</v>
      </c>
      <c r="G33" s="33" t="s">
        <v>68</v>
      </c>
      <c r="H33" s="33"/>
      <c r="I33" s="33"/>
      <c r="J33" s="34">
        <f>J31/12</f>
        <v>1400.8769615853398</v>
      </c>
      <c r="L33" s="33" t="s">
        <v>68</v>
      </c>
      <c r="M33" s="33"/>
      <c r="N33" s="33"/>
      <c r="O33" s="34">
        <f>O31/12</f>
        <v>1442.0400892653997</v>
      </c>
      <c r="Q33" s="33" t="s">
        <v>68</v>
      </c>
      <c r="R33" s="33"/>
      <c r="S33" s="33"/>
      <c r="T33" s="34">
        <f>T31/12</f>
        <v>1484.4381107758618</v>
      </c>
    </row>
    <row r="34" spans="2:20" x14ac:dyDescent="0.3">
      <c r="B34" s="33" t="s">
        <v>69</v>
      </c>
      <c r="C34" s="33"/>
      <c r="D34" s="33"/>
      <c r="E34" s="34">
        <f>E30/('Quelle '!R7*C7)</f>
        <v>31.779792714418605</v>
      </c>
      <c r="G34" s="33" t="s">
        <v>69</v>
      </c>
      <c r="H34" s="33"/>
      <c r="I34" s="33"/>
      <c r="J34" s="34">
        <f>J30/('Quelle '!R7*C7)</f>
        <v>32.733186495851157</v>
      </c>
      <c r="L34" s="33" t="s">
        <v>69</v>
      </c>
      <c r="M34" s="33"/>
      <c r="N34" s="33"/>
      <c r="O34" s="34">
        <f>O30/('Quelle '!R7*C7)</f>
        <v>33.715182090726699</v>
      </c>
      <c r="Q34" s="33" t="s">
        <v>69</v>
      </c>
      <c r="R34" s="33"/>
      <c r="S34" s="33"/>
      <c r="T34" s="34">
        <f>T30/('Quelle '!R7*C7)</f>
        <v>34.726637553448498</v>
      </c>
    </row>
    <row r="35" spans="2:20" x14ac:dyDescent="0.3">
      <c r="B35" s="33" t="s">
        <v>70</v>
      </c>
      <c r="C35" s="33"/>
      <c r="D35" s="33"/>
      <c r="E35" s="34">
        <f>E31/('Quelle '!R7*C7)</f>
        <v>9.4947401857270712</v>
      </c>
      <c r="G35" s="33" t="s">
        <v>70</v>
      </c>
      <c r="H35" s="33"/>
      <c r="I35" s="33"/>
      <c r="J35" s="34">
        <f>J31/('Quelle '!R7*C7)</f>
        <v>9.7735601971070221</v>
      </c>
      <c r="L35" s="33" t="s">
        <v>70</v>
      </c>
      <c r="M35" s="33"/>
      <c r="N35" s="33"/>
      <c r="O35" s="34">
        <f>O31/('Quelle '!R7*C7)</f>
        <v>10.060744808828371</v>
      </c>
      <c r="Q35" s="33" t="s">
        <v>70</v>
      </c>
      <c r="R35" s="33"/>
      <c r="S35" s="33"/>
      <c r="T35" s="34">
        <f>T31/('Quelle '!R7*C7)</f>
        <v>10.356544958901361</v>
      </c>
    </row>
    <row r="36" spans="2:20" x14ac:dyDescent="0.3">
      <c r="B36" s="310"/>
      <c r="C36" s="301"/>
      <c r="D36" s="301"/>
      <c r="E36" s="302"/>
      <c r="G36" s="204"/>
      <c r="H36" s="205"/>
      <c r="I36" s="205"/>
      <c r="J36" s="206"/>
      <c r="L36" s="243"/>
      <c r="M36" s="244"/>
      <c r="N36" s="244"/>
      <c r="O36" s="245"/>
      <c r="Q36" s="243"/>
      <c r="R36" s="244"/>
      <c r="S36" s="244"/>
      <c r="T36" s="245"/>
    </row>
    <row r="37" spans="2:20" x14ac:dyDescent="0.3">
      <c r="B37" s="35" t="s">
        <v>49</v>
      </c>
      <c r="C37" s="33"/>
      <c r="D37" s="33"/>
      <c r="E37" s="33"/>
      <c r="G37" s="35" t="s">
        <v>49</v>
      </c>
      <c r="H37" s="33"/>
      <c r="I37" s="33"/>
      <c r="J37" s="33"/>
      <c r="L37" s="35" t="s">
        <v>49</v>
      </c>
      <c r="M37" s="33"/>
      <c r="N37" s="33"/>
      <c r="O37" s="33"/>
      <c r="Q37" s="35" t="s">
        <v>49</v>
      </c>
      <c r="R37" s="33"/>
      <c r="S37" s="33"/>
      <c r="T37" s="33"/>
    </row>
    <row r="38" spans="2:20" x14ac:dyDescent="0.3">
      <c r="B38" s="33" t="s">
        <v>50</v>
      </c>
      <c r="C38" s="33"/>
      <c r="D38" s="36">
        <f>'Quelle '!$S$21</f>
        <v>9.2999999999999999E-2</v>
      </c>
      <c r="E38" s="34">
        <f>D38*E19</f>
        <v>407.83103999999997</v>
      </c>
      <c r="G38" s="33" t="s">
        <v>50</v>
      </c>
      <c r="H38" s="33"/>
      <c r="I38" s="36">
        <f>'Quelle '!$S$21</f>
        <v>9.2999999999999999E-2</v>
      </c>
      <c r="J38" s="34">
        <f>I38*J19</f>
        <v>420.06597119999998</v>
      </c>
      <c r="L38" s="33" t="s">
        <v>50</v>
      </c>
      <c r="M38" s="33"/>
      <c r="N38" s="36">
        <f>'Quelle '!$S$21</f>
        <v>9.2999999999999999E-2</v>
      </c>
      <c r="O38" s="34">
        <f>N38*O19</f>
        <v>432.66795033599993</v>
      </c>
      <c r="Q38" s="33" t="s">
        <v>50</v>
      </c>
      <c r="R38" s="33"/>
      <c r="S38" s="36">
        <f>'Quelle '!$S$21</f>
        <v>9.2999999999999999E-2</v>
      </c>
      <c r="T38" s="34">
        <f>S38*T19</f>
        <v>445.64798884607995</v>
      </c>
    </row>
    <row r="39" spans="2:20" x14ac:dyDescent="0.3">
      <c r="B39" s="33" t="s">
        <v>51</v>
      </c>
      <c r="C39" s="33"/>
      <c r="D39" s="36">
        <f>'Quelle '!$S$22</f>
        <v>1.2E-2</v>
      </c>
      <c r="E39" s="34">
        <f>D39*E19</f>
        <v>52.623359999999998</v>
      </c>
      <c r="G39" s="33" t="s">
        <v>51</v>
      </c>
      <c r="H39" s="33"/>
      <c r="I39" s="36">
        <f>'Quelle '!$S$22</f>
        <v>1.2E-2</v>
      </c>
      <c r="J39" s="34">
        <f>I39*J19</f>
        <v>54.202060799999998</v>
      </c>
      <c r="L39" s="33" t="s">
        <v>51</v>
      </c>
      <c r="M39" s="33"/>
      <c r="N39" s="36">
        <f>'Quelle '!$S$22</f>
        <v>1.2E-2</v>
      </c>
      <c r="O39" s="34">
        <f>N39*O19</f>
        <v>55.828122623999995</v>
      </c>
      <c r="Q39" s="33" t="s">
        <v>51</v>
      </c>
      <c r="R39" s="33"/>
      <c r="S39" s="36">
        <f>'Quelle '!$S$22</f>
        <v>1.2E-2</v>
      </c>
      <c r="T39" s="34">
        <f>S39*T19</f>
        <v>57.502966302719997</v>
      </c>
    </row>
    <row r="40" spans="2:20" x14ac:dyDescent="0.3">
      <c r="B40" s="33" t="s">
        <v>52</v>
      </c>
      <c r="C40" s="33"/>
      <c r="D40" s="36">
        <f>'Quelle '!$S$23</f>
        <v>7.9000000000000001E-2</v>
      </c>
      <c r="E40" s="34">
        <f>D40*E19</f>
        <v>346.43711999999999</v>
      </c>
      <c r="G40" s="33" t="s">
        <v>52</v>
      </c>
      <c r="H40" s="33"/>
      <c r="I40" s="36">
        <f>'Quelle '!$S$23</f>
        <v>7.9000000000000001E-2</v>
      </c>
      <c r="J40" s="34">
        <f>I40*J19</f>
        <v>356.83023359999999</v>
      </c>
      <c r="L40" s="33" t="s">
        <v>52</v>
      </c>
      <c r="M40" s="33"/>
      <c r="N40" s="36">
        <f>'Quelle '!$S$23</f>
        <v>7.9000000000000001E-2</v>
      </c>
      <c r="O40" s="34">
        <f>N40*O19</f>
        <v>367.53514060799995</v>
      </c>
      <c r="Q40" s="33" t="s">
        <v>52</v>
      </c>
      <c r="R40" s="33"/>
      <c r="S40" s="36">
        <f>'Quelle '!$S$23</f>
        <v>7.9000000000000001E-2</v>
      </c>
      <c r="T40" s="34">
        <f>S40*T19</f>
        <v>378.56119482623996</v>
      </c>
    </row>
    <row r="41" spans="2:20" x14ac:dyDescent="0.3">
      <c r="B41" s="33" t="s">
        <v>53</v>
      </c>
      <c r="C41" s="33"/>
      <c r="D41" s="36">
        <f>'Quelle '!$S$24</f>
        <v>1.525E-2</v>
      </c>
      <c r="E41" s="34">
        <f>D41*E19</f>
        <v>66.875519999999995</v>
      </c>
      <c r="G41" s="33" t="s">
        <v>53</v>
      </c>
      <c r="H41" s="33"/>
      <c r="I41" s="36">
        <f>'Quelle '!$S$24</f>
        <v>1.525E-2</v>
      </c>
      <c r="J41" s="34">
        <f>I41*J19</f>
        <v>68.881785599999986</v>
      </c>
      <c r="L41" s="33" t="s">
        <v>53</v>
      </c>
      <c r="M41" s="33"/>
      <c r="N41" s="36">
        <f>'Quelle '!$S$24</f>
        <v>1.525E-2</v>
      </c>
      <c r="O41" s="34">
        <f>N41*O19</f>
        <v>70.948239167999986</v>
      </c>
      <c r="Q41" s="33" t="s">
        <v>53</v>
      </c>
      <c r="R41" s="33"/>
      <c r="S41" s="36">
        <f>'Quelle '!$S$24</f>
        <v>1.525E-2</v>
      </c>
      <c r="T41" s="34">
        <f>S41*T19</f>
        <v>73.076686343039995</v>
      </c>
    </row>
    <row r="42" spans="2:20" x14ac:dyDescent="0.3">
      <c r="B42" s="33" t="s">
        <v>185</v>
      </c>
      <c r="C42" s="33"/>
      <c r="D42" s="36">
        <f>'Quelle '!$S$25</f>
        <v>2.75E-2</v>
      </c>
      <c r="E42" s="34">
        <f>D42*E19</f>
        <v>120.59519999999999</v>
      </c>
      <c r="G42" s="33" t="s">
        <v>185</v>
      </c>
      <c r="H42" s="33"/>
      <c r="I42" s="36">
        <f>'Quelle '!$S$25</f>
        <v>2.75E-2</v>
      </c>
      <c r="J42" s="34">
        <f>I42*J19</f>
        <v>124.21305599999999</v>
      </c>
      <c r="L42" s="33" t="s">
        <v>185</v>
      </c>
      <c r="M42" s="33"/>
      <c r="N42" s="36">
        <f>'Quelle '!$S$25</f>
        <v>2.75E-2</v>
      </c>
      <c r="O42" s="34">
        <f>N42*O19</f>
        <v>127.93944767999999</v>
      </c>
      <c r="Q42" s="33" t="s">
        <v>185</v>
      </c>
      <c r="R42" s="33"/>
      <c r="S42" s="36">
        <f>'Quelle '!$S$25</f>
        <v>2.75E-2</v>
      </c>
      <c r="T42" s="34">
        <f>S42*T19</f>
        <v>131.77763111039999</v>
      </c>
    </row>
    <row r="43" spans="2:20" x14ac:dyDescent="0.3">
      <c r="B43" s="37" t="s">
        <v>55</v>
      </c>
      <c r="C43" s="33"/>
      <c r="D43" s="36">
        <f>'Quelle '!$S$26</f>
        <v>1.1999999999999999E-3</v>
      </c>
      <c r="E43" s="34">
        <f>D43*E19</f>
        <v>5.2623359999999995</v>
      </c>
      <c r="G43" s="37" t="s">
        <v>55</v>
      </c>
      <c r="H43" s="33"/>
      <c r="I43" s="36">
        <f>'Quelle '!$S$26</f>
        <v>1.1999999999999999E-3</v>
      </c>
      <c r="J43" s="34">
        <f>I43*J19</f>
        <v>5.4202060799999989</v>
      </c>
      <c r="L43" s="37" t="s">
        <v>55</v>
      </c>
      <c r="M43" s="33"/>
      <c r="N43" s="36">
        <f>'Quelle '!$S$26</f>
        <v>1.1999999999999999E-3</v>
      </c>
      <c r="O43" s="34">
        <f>N43*O19</f>
        <v>5.5828122623999992</v>
      </c>
      <c r="Q43" s="37" t="s">
        <v>55</v>
      </c>
      <c r="R43" s="33"/>
      <c r="S43" s="36">
        <f>'Quelle '!$S$26</f>
        <v>1.1999999999999999E-3</v>
      </c>
      <c r="T43" s="34">
        <f>S43*T19</f>
        <v>5.7502966302719987</v>
      </c>
    </row>
    <row r="44" spans="2:20" x14ac:dyDescent="0.3">
      <c r="B44" s="38" t="s">
        <v>56</v>
      </c>
      <c r="C44" s="33"/>
      <c r="D44" s="36">
        <f>SUM(D38:D43)</f>
        <v>0.22794999999999999</v>
      </c>
      <c r="E44" s="39">
        <f>D44*E19</f>
        <v>999.62457599999993</v>
      </c>
      <c r="G44" s="38" t="s">
        <v>56</v>
      </c>
      <c r="H44" s="33"/>
      <c r="I44" s="36">
        <f>SUM(I38:I43)</f>
        <v>0.22794999999999999</v>
      </c>
      <c r="J44" s="39">
        <f>I44*J19</f>
        <v>1029.6133132799998</v>
      </c>
      <c r="L44" s="38" t="s">
        <v>56</v>
      </c>
      <c r="M44" s="33"/>
      <c r="N44" s="36">
        <f>SUM(N38:N43)</f>
        <v>0.22794999999999999</v>
      </c>
      <c r="O44" s="39">
        <f>N44*O19</f>
        <v>1060.5017126783998</v>
      </c>
      <c r="Q44" s="38" t="s">
        <v>56</v>
      </c>
      <c r="R44" s="33"/>
      <c r="S44" s="36">
        <f>SUM(S38:S43)</f>
        <v>0.22794999999999999</v>
      </c>
      <c r="T44" s="39">
        <f>S44*T19</f>
        <v>1092.3167640587519</v>
      </c>
    </row>
    <row r="45" spans="2:20" x14ac:dyDescent="0.3">
      <c r="L45" s="141"/>
      <c r="M45" s="20"/>
      <c r="N45" s="192"/>
      <c r="O45" s="193"/>
    </row>
    <row r="46" spans="2:20" x14ac:dyDescent="0.3">
      <c r="B46" t="s">
        <v>45</v>
      </c>
    </row>
    <row r="47" spans="2:20" x14ac:dyDescent="0.3">
      <c r="B47" t="s">
        <v>46</v>
      </c>
    </row>
    <row r="48" spans="2:20" x14ac:dyDescent="0.3">
      <c r="B48" t="s">
        <v>47</v>
      </c>
    </row>
    <row r="49" spans="2:2" x14ac:dyDescent="0.3">
      <c r="B49" t="s">
        <v>48</v>
      </c>
    </row>
    <row r="50" spans="2:2" x14ac:dyDescent="0.3">
      <c r="B50" t="s">
        <v>189</v>
      </c>
    </row>
  </sheetData>
  <mergeCells count="11">
    <mergeCell ref="Q14:T14"/>
    <mergeCell ref="B11:C11"/>
    <mergeCell ref="B29:E29"/>
    <mergeCell ref="B16:C16"/>
    <mergeCell ref="B26:D26"/>
    <mergeCell ref="G14:J14"/>
    <mergeCell ref="B36:E36"/>
    <mergeCell ref="B27:D27"/>
    <mergeCell ref="B28:D28"/>
    <mergeCell ref="J3:O7"/>
    <mergeCell ref="L14:O14"/>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'Quelle '!$B$6:$G$6</xm:f>
          </x14:formula1>
          <xm:sqref>D11</xm:sqref>
        </x14:dataValidation>
        <x14:dataValidation type="list" allowBlank="1" showInputMessage="1" showErrorMessage="1">
          <x14:formula1>
            <xm:f>'Quelle '!$A$8:$A$26</xm:f>
          </x14:formula1>
          <xm:sqref>B11</xm:sqref>
        </x14:dataValidation>
        <x14:dataValidation type="list" allowBlank="1" showInputMessage="1" showErrorMessage="1">
          <x14:formula1>
            <xm:f>'Quelle '!$A$34:$A$53</xm:f>
          </x14:formula1>
          <xm:sqref>G11</xm:sqref>
        </x14:dataValidation>
        <x14:dataValidation type="list" allowBlank="1" showInputMessage="1" showErrorMessage="1">
          <x14:formula1>
            <xm:f>'Quelle '!$A$34:$A$53</xm:f>
          </x14:formula1>
          <xm:sqref>L11</xm:sqref>
        </x14:dataValidation>
        <x14:dataValidation type="list" allowBlank="1" showInputMessage="1" showErrorMessage="1">
          <x14:formula1>
            <xm:f>'Quelle '!$A$34:$A$53</xm:f>
          </x14:formula1>
          <xm:sqref>Q11</xm:sqref>
        </x14:dataValidation>
        <x14:dataValidation type="list" allowBlank="1" showInputMessage="1" showErrorMessage="1">
          <x14:formula1>
            <xm:f>'Quelle '!$B$33:$G$33</xm:f>
          </x14:formula1>
          <xm:sqref>I11</xm:sqref>
        </x14:dataValidation>
        <x14:dataValidation type="list" allowBlank="1" showInputMessage="1" showErrorMessage="1">
          <x14:formula1>
            <xm:f>'Quelle '!$B$33:$G$33</xm:f>
          </x14:formula1>
          <xm:sqref>N11</xm:sqref>
        </x14:dataValidation>
        <x14:dataValidation type="list" allowBlank="1" showInputMessage="1" showErrorMessage="1">
          <x14:formula1>
            <xm:f>'Quelle '!$B$33:$G$33</xm:f>
          </x14:formula1>
          <xm:sqref>S11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zoomScaleNormal="100" workbookViewId="0">
      <selection activeCell="B4" sqref="B3:H4"/>
    </sheetView>
  </sheetViews>
  <sheetFormatPr baseColWidth="10" defaultRowHeight="14.4" x14ac:dyDescent="0.3"/>
  <cols>
    <col min="1" max="1" width="18.6640625" customWidth="1"/>
    <col min="4" max="4" width="17.5546875" customWidth="1"/>
    <col min="6" max="6" width="12.6640625" customWidth="1"/>
    <col min="9" max="9" width="20.109375" customWidth="1"/>
    <col min="10" max="10" width="12.5546875" customWidth="1"/>
    <col min="11" max="11" width="10.109375" customWidth="1"/>
  </cols>
  <sheetData>
    <row r="1" spans="1:20" ht="21" x14ac:dyDescent="0.4">
      <c r="A1" s="241" t="s">
        <v>192</v>
      </c>
      <c r="B1" s="3" t="s">
        <v>166</v>
      </c>
      <c r="E1" s="1" t="s">
        <v>167</v>
      </c>
    </row>
    <row r="2" spans="1:20" s="2" customFormat="1" ht="10.8" customHeight="1" thickBot="1" x14ac:dyDescent="0.35">
      <c r="A2" s="241"/>
    </row>
    <row r="3" spans="1:20" s="2" customFormat="1" ht="21.6" thickBot="1" x14ac:dyDescent="0.45">
      <c r="A3" s="241"/>
      <c r="B3" s="264" t="s">
        <v>113</v>
      </c>
      <c r="C3" s="265"/>
      <c r="D3" s="265"/>
      <c r="E3" s="265"/>
      <c r="F3" s="265"/>
      <c r="G3" s="265"/>
      <c r="H3" s="266"/>
      <c r="J3" s="325" t="s">
        <v>200</v>
      </c>
      <c r="K3" s="325"/>
      <c r="L3" s="325"/>
      <c r="M3" s="325"/>
      <c r="N3" s="325"/>
      <c r="O3" s="325"/>
    </row>
    <row r="4" spans="1:20" s="2" customFormat="1" ht="15" thickBot="1" x14ac:dyDescent="0.35">
      <c r="A4" s="241"/>
      <c r="B4" s="267" t="s">
        <v>151</v>
      </c>
      <c r="C4" s="268"/>
      <c r="D4" s="268"/>
      <c r="E4" s="268"/>
      <c r="F4" s="268"/>
      <c r="G4" s="268"/>
      <c r="H4" s="269"/>
      <c r="J4" s="325"/>
      <c r="K4" s="325"/>
      <c r="L4" s="325"/>
      <c r="M4" s="325"/>
      <c r="N4" s="325"/>
      <c r="O4" s="325"/>
    </row>
    <row r="5" spans="1:20" ht="15" thickBot="1" x14ac:dyDescent="0.35">
      <c r="J5" s="325"/>
      <c r="K5" s="325"/>
      <c r="L5" s="325"/>
      <c r="M5" s="325"/>
      <c r="N5" s="325"/>
      <c r="O5" s="325"/>
    </row>
    <row r="6" spans="1:20" ht="15" thickBot="1" x14ac:dyDescent="0.35">
      <c r="A6" s="1" t="s">
        <v>36</v>
      </c>
      <c r="B6" t="s">
        <v>37</v>
      </c>
      <c r="C6" s="18">
        <v>1</v>
      </c>
      <c r="G6" s="1"/>
      <c r="J6" s="325"/>
      <c r="K6" s="325"/>
      <c r="L6" s="325"/>
      <c r="M6" s="325"/>
      <c r="N6" s="325"/>
      <c r="O6" s="325"/>
    </row>
    <row r="7" spans="1:20" x14ac:dyDescent="0.3">
      <c r="B7" t="s">
        <v>184</v>
      </c>
      <c r="J7" s="325"/>
      <c r="K7" s="325"/>
      <c r="L7" s="325"/>
      <c r="M7" s="325"/>
      <c r="N7" s="325"/>
      <c r="O7" s="325"/>
    </row>
    <row r="9" spans="1:20" ht="15" thickBot="1" x14ac:dyDescent="0.35">
      <c r="B9" s="1" t="s">
        <v>9</v>
      </c>
      <c r="C9" s="1"/>
      <c r="D9" s="1" t="s">
        <v>38</v>
      </c>
      <c r="G9" s="1" t="s">
        <v>9</v>
      </c>
      <c r="H9" s="1"/>
      <c r="I9" s="1" t="s">
        <v>38</v>
      </c>
      <c r="L9" s="1" t="s">
        <v>9</v>
      </c>
      <c r="M9" s="1"/>
      <c r="N9" s="1" t="s">
        <v>38</v>
      </c>
      <c r="Q9" s="1" t="s">
        <v>9</v>
      </c>
      <c r="R9" s="1"/>
      <c r="S9" s="1" t="s">
        <v>38</v>
      </c>
    </row>
    <row r="10" spans="1:20" ht="15" thickBot="1" x14ac:dyDescent="0.35">
      <c r="A10" s="1" t="s">
        <v>36</v>
      </c>
      <c r="B10" s="298" t="s">
        <v>19</v>
      </c>
      <c r="C10" s="299"/>
      <c r="D10" s="48" t="s">
        <v>3</v>
      </c>
      <c r="G10" s="298" t="s">
        <v>19</v>
      </c>
      <c r="H10" s="316"/>
      <c r="I10" s="194" t="s">
        <v>3</v>
      </c>
      <c r="L10" s="298" t="s">
        <v>19</v>
      </c>
      <c r="M10" s="316"/>
      <c r="N10" s="194" t="s">
        <v>3</v>
      </c>
      <c r="Q10" s="298" t="s">
        <v>19</v>
      </c>
      <c r="R10" s="316"/>
      <c r="S10" s="194" t="s">
        <v>3</v>
      </c>
    </row>
    <row r="13" spans="1:20" ht="21.6" customHeight="1" thickBot="1" x14ac:dyDescent="0.55000000000000004">
      <c r="B13" s="319" t="s">
        <v>72</v>
      </c>
      <c r="C13" s="320"/>
      <c r="D13" s="320"/>
      <c r="E13" s="321"/>
      <c r="G13" s="319" t="s">
        <v>183</v>
      </c>
      <c r="H13" s="320"/>
      <c r="I13" s="320"/>
      <c r="J13" s="321"/>
      <c r="K13" s="242"/>
      <c r="L13" s="319" t="s">
        <v>207</v>
      </c>
      <c r="M13" s="320"/>
      <c r="N13" s="320"/>
      <c r="O13" s="321"/>
      <c r="Q13" s="319" t="s">
        <v>208</v>
      </c>
      <c r="R13" s="320"/>
      <c r="S13" s="320"/>
      <c r="T13" s="321"/>
    </row>
    <row r="14" spans="1:20" x14ac:dyDescent="0.3">
      <c r="B14" s="19"/>
      <c r="C14" s="20"/>
      <c r="D14" s="27"/>
      <c r="E14" s="32" t="s">
        <v>44</v>
      </c>
      <c r="G14" s="19"/>
      <c r="H14" s="20"/>
      <c r="I14" s="27"/>
      <c r="J14" s="32" t="s">
        <v>44</v>
      </c>
      <c r="K14" s="242"/>
      <c r="L14" s="19"/>
      <c r="M14" s="20"/>
      <c r="N14" s="27"/>
      <c r="O14" s="32" t="s">
        <v>44</v>
      </c>
      <c r="Q14" s="19"/>
      <c r="R14" s="20"/>
      <c r="S14" s="27"/>
      <c r="T14" s="32" t="s">
        <v>44</v>
      </c>
    </row>
    <row r="15" spans="1:20" x14ac:dyDescent="0.3">
      <c r="B15" s="311" t="s">
        <v>40</v>
      </c>
      <c r="C15" s="312"/>
      <c r="D15" s="29"/>
      <c r="E15" s="28" t="str">
        <f>B10</f>
        <v xml:space="preserve">E 13 </v>
      </c>
      <c r="G15" s="311" t="s">
        <v>40</v>
      </c>
      <c r="H15" s="312"/>
      <c r="I15" s="29"/>
      <c r="J15" s="28" t="str">
        <f>G10</f>
        <v xml:space="preserve">E 13 </v>
      </c>
      <c r="K15" s="242"/>
      <c r="L15" s="311" t="s">
        <v>40</v>
      </c>
      <c r="M15" s="312"/>
      <c r="N15" s="29"/>
      <c r="O15" s="28" t="str">
        <f>L10</f>
        <v xml:space="preserve">E 13 </v>
      </c>
      <c r="Q15" s="311" t="s">
        <v>40</v>
      </c>
      <c r="R15" s="312"/>
      <c r="S15" s="29"/>
      <c r="T15" s="28" t="str">
        <f>Q10</f>
        <v xml:space="preserve">E 13 </v>
      </c>
    </row>
    <row r="16" spans="1:20" x14ac:dyDescent="0.3">
      <c r="B16" s="19"/>
      <c r="C16" s="20"/>
      <c r="D16" s="28"/>
      <c r="E16" s="28" t="str">
        <f>D10</f>
        <v>Stufe 2</v>
      </c>
      <c r="G16" s="19"/>
      <c r="H16" s="20"/>
      <c r="I16" s="28"/>
      <c r="J16" s="28" t="str">
        <f>I10</f>
        <v>Stufe 2</v>
      </c>
      <c r="K16" s="242"/>
      <c r="L16" s="19"/>
      <c r="M16" s="20"/>
      <c r="N16" s="28"/>
      <c r="O16" s="28" t="str">
        <f>N10</f>
        <v>Stufe 2</v>
      </c>
      <c r="Q16" s="19"/>
      <c r="R16" s="20"/>
      <c r="S16" s="28"/>
      <c r="T16" s="28" t="str">
        <f>S10</f>
        <v>Stufe 2</v>
      </c>
    </row>
    <row r="17" spans="1:20" ht="15" thickBot="1" x14ac:dyDescent="0.35">
      <c r="B17" s="25"/>
      <c r="C17" s="26"/>
      <c r="D17" s="47" t="s">
        <v>65</v>
      </c>
      <c r="E17" s="47" t="s">
        <v>66</v>
      </c>
      <c r="G17" s="25"/>
      <c r="H17" s="26"/>
      <c r="I17" s="47" t="s">
        <v>65</v>
      </c>
      <c r="J17" s="47" t="s">
        <v>66</v>
      </c>
      <c r="K17" s="242"/>
      <c r="L17" s="25"/>
      <c r="M17" s="26"/>
      <c r="N17" s="47" t="s">
        <v>65</v>
      </c>
      <c r="O17" s="47" t="s">
        <v>66</v>
      </c>
      <c r="Q17" s="25"/>
      <c r="R17" s="26"/>
      <c r="S17" s="47" t="s">
        <v>65</v>
      </c>
      <c r="T17" s="47" t="s">
        <v>66</v>
      </c>
    </row>
    <row r="18" spans="1:20" x14ac:dyDescent="0.3">
      <c r="B18" s="44" t="s">
        <v>41</v>
      </c>
      <c r="C18" s="45"/>
      <c r="D18" s="46"/>
      <c r="E18" s="30">
        <f>INDEX('Quelle '!A5:H26,MATCH(Interreg!B10,'Quelle '!A5:A26,0),MATCH(D10,'Quelle '!A6:G6))*Interreg!C6</f>
        <v>4385.28</v>
      </c>
      <c r="G18" s="44" t="s">
        <v>41</v>
      </c>
      <c r="H18" s="45"/>
      <c r="I18" s="46"/>
      <c r="J18" s="30">
        <f>INDEX('Quelle '!A33:G53,MATCH(Interreg!G10,'Quelle '!A33:A53,0),MATCH(I10,'Quelle '!A33:G33))*Interreg!C6</f>
        <v>4516.8383999999996</v>
      </c>
      <c r="K18" s="242"/>
      <c r="L18" s="44" t="s">
        <v>41</v>
      </c>
      <c r="M18" s="45"/>
      <c r="N18" s="46"/>
      <c r="O18" s="271">
        <f>INDEX('Quelle '!A60:G80,MATCH(Interreg!L10,'Quelle '!A60:A80,0),MATCH(N10,'Quelle '!A60:G60))*Interreg!C6</f>
        <v>4652.3435519999994</v>
      </c>
      <c r="Q18" s="44" t="s">
        <v>41</v>
      </c>
      <c r="R18" s="45"/>
      <c r="S18" s="46"/>
      <c r="T18" s="271">
        <f>INDEX('Quelle '!A87:G107,MATCH(Interreg!Q10,'Quelle '!A87:A107,0),MATCH(S10,'Quelle '!A87:G87))*Interreg!C6</f>
        <v>4791.9138585599994</v>
      </c>
    </row>
    <row r="19" spans="1:20" x14ac:dyDescent="0.3">
      <c r="B19" s="33" t="s">
        <v>57</v>
      </c>
      <c r="C19" s="33"/>
      <c r="D19" s="36">
        <f>D55</f>
        <v>0.22794999999999999</v>
      </c>
      <c r="E19" s="34">
        <f>E55</f>
        <v>999.62457599999993</v>
      </c>
      <c r="G19" s="33" t="s">
        <v>57</v>
      </c>
      <c r="H19" s="33"/>
      <c r="I19" s="36">
        <f>I65</f>
        <v>0.22794999999999999</v>
      </c>
      <c r="J19" s="34">
        <f>J65</f>
        <v>1029.6133132799998</v>
      </c>
      <c r="K19" s="242"/>
      <c r="L19" s="33" t="s">
        <v>57</v>
      </c>
      <c r="M19" s="33"/>
      <c r="N19" s="36">
        <f>N75</f>
        <v>0.22794999999999999</v>
      </c>
      <c r="O19" s="34">
        <f>O75</f>
        <v>1060.5017126783998</v>
      </c>
      <c r="Q19" s="33" t="s">
        <v>57</v>
      </c>
      <c r="R19" s="33"/>
      <c r="S19" s="36">
        <f>S85</f>
        <v>0.22794999999999999</v>
      </c>
      <c r="T19" s="119">
        <f>T85</f>
        <v>1092.3167640587519</v>
      </c>
    </row>
    <row r="20" spans="1:20" x14ac:dyDescent="0.3">
      <c r="B20" s="33" t="s">
        <v>42</v>
      </c>
      <c r="C20" s="33"/>
      <c r="D20" s="36">
        <v>6.4500000000000002E-2</v>
      </c>
      <c r="E20" s="34">
        <f>D20*E18</f>
        <v>282.85055999999997</v>
      </c>
      <c r="G20" s="33" t="s">
        <v>42</v>
      </c>
      <c r="H20" s="33"/>
      <c r="I20" s="36">
        <v>6.4500000000000002E-2</v>
      </c>
      <c r="J20" s="34">
        <f>I20*J18</f>
        <v>291.3360768</v>
      </c>
      <c r="K20" s="242"/>
      <c r="L20" s="33" t="s">
        <v>42</v>
      </c>
      <c r="M20" s="33"/>
      <c r="N20" s="36">
        <v>6.4500000000000002E-2</v>
      </c>
      <c r="O20" s="34">
        <f>N20*O18</f>
        <v>300.07615910399994</v>
      </c>
      <c r="Q20" s="33" t="s">
        <v>42</v>
      </c>
      <c r="R20" s="33"/>
      <c r="S20" s="36">
        <v>6.4500000000000002E-2</v>
      </c>
      <c r="T20" s="119">
        <f>S20*T18</f>
        <v>309.07844387711998</v>
      </c>
    </row>
    <row r="21" spans="1:20" x14ac:dyDescent="0.3">
      <c r="B21" s="33" t="s">
        <v>58</v>
      </c>
      <c r="C21" s="33"/>
      <c r="D21" s="33"/>
      <c r="E21" s="34">
        <v>6.65</v>
      </c>
      <c r="G21" s="33" t="s">
        <v>58</v>
      </c>
      <c r="H21" s="33"/>
      <c r="I21" s="33"/>
      <c r="J21" s="34">
        <v>6.65</v>
      </c>
      <c r="K21" s="242"/>
      <c r="L21" s="33" t="s">
        <v>58</v>
      </c>
      <c r="M21" s="33"/>
      <c r="N21" s="33"/>
      <c r="O21" s="34">
        <v>6.65</v>
      </c>
      <c r="Q21" s="33" t="s">
        <v>58</v>
      </c>
      <c r="R21" s="33"/>
      <c r="S21" s="33"/>
      <c r="T21" s="34">
        <v>6.65</v>
      </c>
    </row>
    <row r="22" spans="1:20" x14ac:dyDescent="0.3">
      <c r="B22" s="33" t="s">
        <v>43</v>
      </c>
      <c r="C22" s="33"/>
      <c r="D22" s="33"/>
      <c r="E22" s="34">
        <v>21.05</v>
      </c>
      <c r="G22" s="33" t="s">
        <v>43</v>
      </c>
      <c r="H22" s="33"/>
      <c r="I22" s="33"/>
      <c r="J22" s="34">
        <v>21.05</v>
      </c>
      <c r="K22" s="242"/>
      <c r="L22" s="33" t="s">
        <v>43</v>
      </c>
      <c r="M22" s="33"/>
      <c r="N22" s="33"/>
      <c r="O22" s="34">
        <v>21.05</v>
      </c>
      <c r="Q22" s="33" t="s">
        <v>43</v>
      </c>
      <c r="R22" s="33"/>
      <c r="S22" s="33"/>
      <c r="T22" s="34">
        <v>21.05</v>
      </c>
    </row>
    <row r="23" spans="1:20" x14ac:dyDescent="0.3">
      <c r="B23" s="16" t="s">
        <v>59</v>
      </c>
      <c r="C23" s="16"/>
      <c r="D23" s="16"/>
      <c r="E23" s="50">
        <f>SUM(E18:E22)</f>
        <v>5695.4551359999996</v>
      </c>
      <c r="G23" s="16" t="s">
        <v>59</v>
      </c>
      <c r="H23" s="16"/>
      <c r="I23" s="16"/>
      <c r="J23" s="50">
        <f>SUM(J18:J22)</f>
        <v>5865.4877900799993</v>
      </c>
      <c r="K23" s="242"/>
      <c r="L23" s="16" t="s">
        <v>59</v>
      </c>
      <c r="M23" s="16"/>
      <c r="N23" s="16"/>
      <c r="O23" s="50">
        <f>SUM(O18:O22)</f>
        <v>6040.6214237823988</v>
      </c>
      <c r="Q23" s="16" t="s">
        <v>59</v>
      </c>
      <c r="R23" s="16"/>
      <c r="S23" s="16"/>
      <c r="T23" s="50">
        <f>SUM(T18:T22)</f>
        <v>6221.0090664958707</v>
      </c>
    </row>
    <row r="24" spans="1:20" ht="15" thickBot="1" x14ac:dyDescent="0.35">
      <c r="B24" s="41" t="s">
        <v>64</v>
      </c>
      <c r="C24" s="41"/>
      <c r="D24" s="42">
        <f>VLOOKUP(B10,'Quelle '!A5:H26,8,)*100</f>
        <v>46.471000000000004</v>
      </c>
      <c r="E24" s="43">
        <f>E23*D24/100</f>
        <v>2646.7349562505597</v>
      </c>
      <c r="G24" s="41" t="s">
        <v>64</v>
      </c>
      <c r="H24" s="41"/>
      <c r="I24" s="42">
        <f>VLOOKUP(G10,'Quelle '!A33:H53,8,)*100</f>
        <v>46.471000000000004</v>
      </c>
      <c r="J24" s="43">
        <f>J23*I24/100</f>
        <v>2725.7508309280765</v>
      </c>
      <c r="K24" s="242"/>
      <c r="L24" s="41" t="s">
        <v>64</v>
      </c>
      <c r="M24" s="41"/>
      <c r="N24" s="42">
        <f>VLOOKUP(L10,'Quelle '!A60:H80,8,)*100</f>
        <v>46.471000000000004</v>
      </c>
      <c r="O24" s="43">
        <f>O23*N24/100</f>
        <v>2807.1371818459183</v>
      </c>
      <c r="Q24" s="41" t="s">
        <v>64</v>
      </c>
      <c r="R24" s="41"/>
      <c r="S24" s="42">
        <f>VLOOKUP(Q10,'Quelle '!A87:H107,8,)*100</f>
        <v>46.471000000000004</v>
      </c>
      <c r="T24" s="43">
        <f>T23*S24/100</f>
        <v>2890.9651232912961</v>
      </c>
    </row>
    <row r="25" spans="1:20" ht="15" thickBot="1" x14ac:dyDescent="0.35">
      <c r="B25" s="313" t="s">
        <v>71</v>
      </c>
      <c r="C25" s="314"/>
      <c r="D25" s="315"/>
      <c r="E25" s="31">
        <f>E45+E46</f>
        <v>43.025573689848827</v>
      </c>
      <c r="G25" s="313" t="s">
        <v>71</v>
      </c>
      <c r="H25" s="314"/>
      <c r="I25" s="315"/>
      <c r="J25" s="31">
        <f>J55+J56</f>
        <v>44.310063219326103</v>
      </c>
      <c r="L25" s="313" t="s">
        <v>71</v>
      </c>
      <c r="M25" s="314"/>
      <c r="N25" s="315"/>
      <c r="O25" s="272">
        <f>O65+O66</f>
        <v>45.633087434687702</v>
      </c>
      <c r="Q25" s="313" t="s">
        <v>71</v>
      </c>
      <c r="R25" s="314"/>
      <c r="S25" s="315"/>
      <c r="T25" s="272">
        <f>T75+T76</f>
        <v>38.744037714612716</v>
      </c>
    </row>
    <row r="26" spans="1:20" ht="15" thickBot="1" x14ac:dyDescent="0.35">
      <c r="B26" s="304" t="s">
        <v>60</v>
      </c>
      <c r="C26" s="305"/>
      <c r="D26" s="306"/>
      <c r="E26" s="51">
        <f>E23+(E24/12)</f>
        <v>5916.0163823542125</v>
      </c>
      <c r="G26" s="304" t="s">
        <v>60</v>
      </c>
      <c r="H26" s="305"/>
      <c r="I26" s="306"/>
      <c r="J26" s="51">
        <f>J23+(J24/12)</f>
        <v>6092.6336926573385</v>
      </c>
      <c r="L26" s="304" t="s">
        <v>60</v>
      </c>
      <c r="M26" s="305"/>
      <c r="N26" s="306"/>
      <c r="O26" s="51">
        <f>O23+(O24/12)</f>
        <v>6274.549522269559</v>
      </c>
      <c r="Q26" s="304" t="s">
        <v>60</v>
      </c>
      <c r="R26" s="305"/>
      <c r="S26" s="306"/>
      <c r="T26" s="51">
        <f>T23+(T24/12)</f>
        <v>6461.9228267701455</v>
      </c>
    </row>
    <row r="27" spans="1:20" ht="15" thickBot="1" x14ac:dyDescent="0.35">
      <c r="B27" s="326" t="s">
        <v>61</v>
      </c>
      <c r="C27" s="353"/>
      <c r="D27" s="354"/>
      <c r="E27" s="96">
        <f>(E23*12)+E24</f>
        <v>70992.196588250546</v>
      </c>
      <c r="G27" s="326" t="s">
        <v>61</v>
      </c>
      <c r="H27" s="353"/>
      <c r="I27" s="354"/>
      <c r="J27" s="96">
        <f>(J23*12)+J24</f>
        <v>73111.604311888077</v>
      </c>
      <c r="L27" s="326" t="s">
        <v>61</v>
      </c>
      <c r="M27" s="353"/>
      <c r="N27" s="354"/>
      <c r="O27" s="96">
        <f>(O23*12)+O24</f>
        <v>75294.594267234701</v>
      </c>
      <c r="Q27" s="326" t="s">
        <v>61</v>
      </c>
      <c r="R27" s="353"/>
      <c r="S27" s="354"/>
      <c r="T27" s="96">
        <f>(T23*12)+T24</f>
        <v>77543.073921241754</v>
      </c>
    </row>
    <row r="28" spans="1:20" s="17" customFormat="1" ht="15" thickBot="1" x14ac:dyDescent="0.35">
      <c r="C28" s="159"/>
      <c r="D28" s="160"/>
      <c r="E28" s="160"/>
      <c r="F28" s="55"/>
      <c r="H28" s="159"/>
      <c r="I28" s="160"/>
      <c r="J28" s="160"/>
      <c r="K28" s="55"/>
    </row>
    <row r="29" spans="1:20" s="17" customFormat="1" ht="15" thickBot="1" x14ac:dyDescent="0.35">
      <c r="A29" s="159"/>
      <c r="B29" s="347">
        <v>2021</v>
      </c>
      <c r="C29" s="348"/>
      <c r="D29" s="160"/>
      <c r="E29" s="55"/>
      <c r="G29" s="159"/>
      <c r="H29" s="160"/>
      <c r="I29" s="160"/>
    </row>
    <row r="30" spans="1:20" s="17" customFormat="1" x14ac:dyDescent="0.3">
      <c r="A30" s="159"/>
      <c r="B30" s="349" t="s">
        <v>76</v>
      </c>
      <c r="C30" s="350"/>
      <c r="D30" s="169">
        <v>1</v>
      </c>
      <c r="E30" s="169">
        <v>2</v>
      </c>
      <c r="F30" s="170">
        <v>3</v>
      </c>
      <c r="G30" s="169">
        <v>4</v>
      </c>
      <c r="H30" s="169">
        <v>4</v>
      </c>
      <c r="I30" s="169">
        <v>5</v>
      </c>
    </row>
    <row r="31" spans="1:20" s="17" customFormat="1" x14ac:dyDescent="0.3">
      <c r="A31" s="159"/>
      <c r="B31" s="351" t="s">
        <v>74</v>
      </c>
      <c r="C31" s="352"/>
      <c r="D31" s="171" t="s">
        <v>83</v>
      </c>
      <c r="E31" s="171" t="s">
        <v>156</v>
      </c>
      <c r="F31" s="172" t="s">
        <v>157</v>
      </c>
      <c r="G31" s="103" t="s">
        <v>158</v>
      </c>
      <c r="H31" s="103" t="s">
        <v>82</v>
      </c>
      <c r="I31" s="171" t="s">
        <v>159</v>
      </c>
    </row>
    <row r="32" spans="1:20" s="17" customFormat="1" x14ac:dyDescent="0.3">
      <c r="A32" s="159"/>
      <c r="B32" s="351" t="s">
        <v>75</v>
      </c>
      <c r="C32" s="352"/>
      <c r="D32" s="102">
        <f>'Quelle '!M21</f>
        <v>9350</v>
      </c>
      <c r="E32" s="102">
        <f>'Quelle '!M22</f>
        <v>7012</v>
      </c>
      <c r="F32" s="105">
        <f>'Quelle '!M23</f>
        <v>4950</v>
      </c>
      <c r="G32" s="105">
        <f>'Quelle '!M24</f>
        <v>3850</v>
      </c>
      <c r="H32" s="105">
        <f>'Quelle '!M25</f>
        <v>3850</v>
      </c>
      <c r="I32" s="102">
        <f>'Quelle '!M26</f>
        <v>2062</v>
      </c>
    </row>
    <row r="33" spans="1:15" s="17" customFormat="1" x14ac:dyDescent="0.3">
      <c r="A33" s="159"/>
      <c r="B33" s="351" t="s">
        <v>77</v>
      </c>
      <c r="C33" s="352"/>
      <c r="D33" s="102">
        <f>'Quelle '!N21</f>
        <v>68</v>
      </c>
      <c r="E33" s="102">
        <f>'Quelle '!N22</f>
        <v>51</v>
      </c>
      <c r="F33" s="105">
        <f>'Quelle '!N23</f>
        <v>36</v>
      </c>
      <c r="G33" s="105">
        <f>'Quelle '!N24</f>
        <v>28</v>
      </c>
      <c r="H33" s="105">
        <f>'Quelle '!N25</f>
        <v>28</v>
      </c>
      <c r="I33" s="102">
        <f>'Quelle '!N26</f>
        <v>15</v>
      </c>
    </row>
    <row r="34" spans="1:15" s="17" customFormat="1" x14ac:dyDescent="0.3">
      <c r="A34" s="159"/>
      <c r="B34" s="351" t="s">
        <v>78</v>
      </c>
      <c r="C34" s="352"/>
      <c r="D34" s="173" t="str">
        <f>IF(E26&gt;D32,"ACHTUNG","OK")</f>
        <v>OK</v>
      </c>
      <c r="E34" s="173" t="str">
        <f>IF(E26&gt;E32,"ACHTUNG","OK")</f>
        <v>OK</v>
      </c>
      <c r="F34" s="174" t="str">
        <f>IF(E26&gt;F32,"ACHTUNG","OK")</f>
        <v>ACHTUNG</v>
      </c>
      <c r="G34" s="173" t="str">
        <f>IF(E26&gt;G32,"ACHTUNG","OK")</f>
        <v>ACHTUNG</v>
      </c>
      <c r="H34" s="173" t="str">
        <f>IF('SHK u. WHK'!P16&gt;Interreg!H32,"ACHTUNG","OK")</f>
        <v>OK</v>
      </c>
      <c r="I34" s="173" t="str">
        <f>IF('SHK u. WHK'!F16&gt;Interreg!I32,"ACHTUNG","OK")</f>
        <v>OK</v>
      </c>
      <c r="J34" s="17" t="s">
        <v>211</v>
      </c>
    </row>
    <row r="35" spans="1:15" s="17" customFormat="1" x14ac:dyDescent="0.3">
      <c r="A35" s="159"/>
      <c r="B35" s="351" t="s">
        <v>79</v>
      </c>
      <c r="C35" s="352"/>
      <c r="D35" s="173" t="str">
        <f>IF(E25&gt;Interreg!D33,"ACHTUNG","OK")</f>
        <v>OK</v>
      </c>
      <c r="E35" s="173" t="str">
        <f>IF(E25&gt;Interreg!E33,"ACHTUNG","OK")</f>
        <v>OK</v>
      </c>
      <c r="F35" s="174" t="str">
        <f>IF(E25&gt;Interreg!F33,"ACHTUNG","OK")</f>
        <v>ACHTUNG</v>
      </c>
      <c r="G35" s="173" t="str">
        <f>IF(E25&gt;Interreg!G33,"ACHTUNG","OK")</f>
        <v>ACHTUNG</v>
      </c>
      <c r="H35" s="173" t="str">
        <f>IF('SHK u. WHK'!N16&gt;Interreg!H33,"ACHTUNG","OK")</f>
        <v>OK</v>
      </c>
      <c r="I35" s="173" t="str">
        <f>IF('SHK u. WHK'!D16&gt;Interreg!I33,"ACHTUNG","OK")</f>
        <v>OK</v>
      </c>
    </row>
    <row r="36" spans="1:15" s="17" customFormat="1" x14ac:dyDescent="0.3">
      <c r="A36" s="159"/>
      <c r="B36" s="351" t="s">
        <v>85</v>
      </c>
      <c r="C36" s="352"/>
      <c r="D36" s="102">
        <f>D32-E26</f>
        <v>3433.9836176457875</v>
      </c>
      <c r="E36" s="102">
        <f>E32-E26</f>
        <v>1095.9836176457875</v>
      </c>
      <c r="F36" s="172">
        <f>F32-E26</f>
        <v>-966.01638235421251</v>
      </c>
      <c r="G36" s="105">
        <f>G32-E26</f>
        <v>-2066.0163823542125</v>
      </c>
      <c r="H36" s="105">
        <f>H32-'SHK u. WHK'!P16</f>
        <v>2947.1787799000003</v>
      </c>
      <c r="I36" s="102">
        <f>I32-'SHK u. WHK'!F16</f>
        <v>1288.2556819000001</v>
      </c>
    </row>
    <row r="37" spans="1:15" s="17" customFormat="1" x14ac:dyDescent="0.3">
      <c r="A37" s="159"/>
      <c r="B37" s="351" t="s">
        <v>86</v>
      </c>
      <c r="C37" s="352"/>
      <c r="D37" s="102">
        <f>D33-E25</f>
        <v>24.974426310151173</v>
      </c>
      <c r="E37" s="102">
        <f>E33-E25</f>
        <v>7.9744263101511734</v>
      </c>
      <c r="F37" s="172">
        <f>F33-E25</f>
        <v>-7.0255736898488266</v>
      </c>
      <c r="G37" s="105">
        <f>G33-E25</f>
        <v>-15.025573689848827</v>
      </c>
      <c r="H37" s="105">
        <f>H33-'SHK u. WHK'!N16</f>
        <v>14.157295</v>
      </c>
      <c r="I37" s="102">
        <f>I33-'SHK u. WHK'!D16</f>
        <v>3.1363950000000003</v>
      </c>
    </row>
    <row r="38" spans="1:15" s="17" customFormat="1" ht="15" thickBot="1" x14ac:dyDescent="0.35">
      <c r="A38" s="159"/>
      <c r="B38" s="143"/>
      <c r="C38" s="145"/>
      <c r="D38" s="159"/>
      <c r="E38" s="160"/>
      <c r="F38" s="160"/>
      <c r="G38" s="55"/>
    </row>
    <row r="39" spans="1:15" s="17" customFormat="1" ht="15" thickBot="1" x14ac:dyDescent="0.35">
      <c r="A39" s="159"/>
      <c r="C39" s="159"/>
      <c r="D39" s="160"/>
      <c r="E39" s="160"/>
      <c r="F39" s="55"/>
      <c r="G39" s="347" t="s">
        <v>174</v>
      </c>
      <c r="H39" s="348"/>
      <c r="I39" s="180"/>
      <c r="J39" s="55"/>
      <c r="L39" s="179"/>
      <c r="M39" s="180"/>
      <c r="N39" s="180"/>
    </row>
    <row r="40" spans="1:15" s="17" customFormat="1" ht="15" thickBot="1" x14ac:dyDescent="0.35">
      <c r="A40" s="159"/>
      <c r="B40" s="344">
        <v>2021</v>
      </c>
      <c r="C40" s="345"/>
      <c r="D40" s="345"/>
      <c r="E40" s="346"/>
      <c r="G40" s="349" t="s">
        <v>76</v>
      </c>
      <c r="H40" s="350"/>
      <c r="I40" s="169">
        <v>1</v>
      </c>
      <c r="J40" s="169">
        <v>2</v>
      </c>
      <c r="K40" s="170">
        <v>3</v>
      </c>
      <c r="L40" s="169">
        <v>4</v>
      </c>
      <c r="M40" s="169">
        <v>4</v>
      </c>
      <c r="N40" s="169">
        <v>5</v>
      </c>
    </row>
    <row r="41" spans="1:15" s="17" customFormat="1" x14ac:dyDescent="0.3">
      <c r="A41" s="159"/>
      <c r="B41" s="40" t="s">
        <v>62</v>
      </c>
      <c r="C41" s="40"/>
      <c r="D41" s="40"/>
      <c r="E41" s="239">
        <f>(E18*12)+E18*D24/100</f>
        <v>54661.243468799999</v>
      </c>
      <c r="G41" s="351" t="s">
        <v>74</v>
      </c>
      <c r="H41" s="352"/>
      <c r="I41" s="171" t="s">
        <v>83</v>
      </c>
      <c r="J41" s="171" t="s">
        <v>156</v>
      </c>
      <c r="K41" s="172" t="s">
        <v>157</v>
      </c>
      <c r="L41" s="103" t="s">
        <v>158</v>
      </c>
      <c r="M41" s="103" t="s">
        <v>82</v>
      </c>
      <c r="N41" s="171" t="s">
        <v>159</v>
      </c>
    </row>
    <row r="42" spans="1:15" s="17" customFormat="1" x14ac:dyDescent="0.3">
      <c r="A42" s="159"/>
      <c r="B42" s="33" t="s">
        <v>63</v>
      </c>
      <c r="C42" s="33"/>
      <c r="D42" s="33"/>
      <c r="E42" s="34">
        <f>(SUM(E19:E22)*12)+(SUM(E19:E22)*D24/100)</f>
        <v>16330.953119450562</v>
      </c>
      <c r="G42" s="351" t="s">
        <v>75</v>
      </c>
      <c r="H42" s="352"/>
      <c r="I42" s="102">
        <f t="shared" ref="I42:N43" si="0">D32</f>
        <v>9350</v>
      </c>
      <c r="J42" s="102">
        <f t="shared" si="0"/>
        <v>7012</v>
      </c>
      <c r="K42" s="105">
        <f t="shared" si="0"/>
        <v>4950</v>
      </c>
      <c r="L42" s="105">
        <f t="shared" si="0"/>
        <v>3850</v>
      </c>
      <c r="M42" s="105">
        <f t="shared" si="0"/>
        <v>3850</v>
      </c>
      <c r="N42" s="102">
        <f t="shared" si="0"/>
        <v>2062</v>
      </c>
    </row>
    <row r="43" spans="1:15" s="17" customFormat="1" x14ac:dyDescent="0.3">
      <c r="A43" s="159"/>
      <c r="B43" s="33" t="s">
        <v>67</v>
      </c>
      <c r="C43" s="33"/>
      <c r="D43" s="33"/>
      <c r="E43" s="34">
        <f>E41/12</f>
        <v>4555.1036223999999</v>
      </c>
      <c r="G43" s="351" t="s">
        <v>77</v>
      </c>
      <c r="H43" s="352"/>
      <c r="I43" s="102">
        <f t="shared" si="0"/>
        <v>68</v>
      </c>
      <c r="J43" s="102">
        <f t="shared" si="0"/>
        <v>51</v>
      </c>
      <c r="K43" s="105">
        <f t="shared" si="0"/>
        <v>36</v>
      </c>
      <c r="L43" s="105">
        <f t="shared" si="0"/>
        <v>28</v>
      </c>
      <c r="M43" s="105">
        <f t="shared" si="0"/>
        <v>28</v>
      </c>
      <c r="N43" s="102">
        <f t="shared" si="0"/>
        <v>15</v>
      </c>
    </row>
    <row r="44" spans="1:15" s="17" customFormat="1" x14ac:dyDescent="0.3">
      <c r="A44" s="159"/>
      <c r="B44" s="33" t="s">
        <v>68</v>
      </c>
      <c r="C44" s="33"/>
      <c r="D44" s="33"/>
      <c r="E44" s="34">
        <f>E42/12</f>
        <v>1360.9127599542135</v>
      </c>
      <c r="G44" s="351" t="s">
        <v>78</v>
      </c>
      <c r="H44" s="352"/>
      <c r="I44" s="173" t="str">
        <f>IF(J26&gt;I42,"ACHTUNG","OK")</f>
        <v>OK</v>
      </c>
      <c r="J44" s="173" t="str">
        <f>IF(J26&gt;J42,"ACHTUNG","OK")</f>
        <v>OK</v>
      </c>
      <c r="K44" s="174" t="str">
        <f>IF(J26&gt;K42,"ACHTUNG","OK")</f>
        <v>ACHTUNG</v>
      </c>
      <c r="L44" s="173" t="str">
        <f>IF(J26&gt;L42,"ACHTUNG","OK")</f>
        <v>ACHTUNG</v>
      </c>
      <c r="M44" s="173" t="str">
        <f>IF('SHK u. WHK'!P16&gt;Interreg!M42,"ACHTUNG","OK")</f>
        <v>OK</v>
      </c>
      <c r="N44" s="173" t="str">
        <f>IF('SHK u. WHK'!F16&gt;Interreg!N42,"ACHTUNG","OK")</f>
        <v>OK</v>
      </c>
      <c r="O44" s="17" t="s">
        <v>213</v>
      </c>
    </row>
    <row r="45" spans="1:15" s="17" customFormat="1" x14ac:dyDescent="0.3">
      <c r="A45" s="159"/>
      <c r="B45" s="33" t="s">
        <v>69</v>
      </c>
      <c r="C45" s="33"/>
      <c r="D45" s="33"/>
      <c r="E45" s="34">
        <f>E41/('Quelle '!R4*C6)</f>
        <v>33.128026344727274</v>
      </c>
      <c r="G45" s="351" t="s">
        <v>79</v>
      </c>
      <c r="H45" s="352"/>
      <c r="I45" s="173" t="str">
        <f>IF(J25&gt;Interreg!I43,"ACHTUNG","OK")</f>
        <v>OK</v>
      </c>
      <c r="J45" s="173" t="str">
        <f>IF(J25&gt;Interreg!J43,"ACHTUNG","OK")</f>
        <v>OK</v>
      </c>
      <c r="K45" s="174" t="str">
        <f>IF(J25&gt;Interreg!K43,"ACHTUNG","OK")</f>
        <v>ACHTUNG</v>
      </c>
      <c r="L45" s="173" t="str">
        <f>IF(J26&gt;Interreg!L43,"ACHTUNG","OK")</f>
        <v>ACHTUNG</v>
      </c>
      <c r="M45" s="173" t="str">
        <f>IF('SHK u. WHK'!N16&gt;Interreg!M43,"ACHTUNG","OK")</f>
        <v>OK</v>
      </c>
      <c r="N45" s="173" t="str">
        <f>IF('SHK u. WHK'!D16&gt;Interreg!N43,"ACHTUNG","OK")</f>
        <v>OK</v>
      </c>
    </row>
    <row r="46" spans="1:15" s="17" customFormat="1" x14ac:dyDescent="0.3">
      <c r="B46" s="33" t="s">
        <v>70</v>
      </c>
      <c r="C46" s="33"/>
      <c r="D46" s="33"/>
      <c r="E46" s="34">
        <f>E42/('Quelle '!R4*C6)</f>
        <v>9.8975473451215521</v>
      </c>
      <c r="G46" s="351" t="s">
        <v>85</v>
      </c>
      <c r="H46" s="352"/>
      <c r="I46" s="102">
        <f>I42-J26</f>
        <v>3257.3663073426615</v>
      </c>
      <c r="J46" s="102">
        <f>J42-J26</f>
        <v>919.36630734266146</v>
      </c>
      <c r="K46" s="172">
        <f>K42-J26</f>
        <v>-1142.6336926573385</v>
      </c>
      <c r="L46" s="105">
        <f>L42-J26</f>
        <v>-2242.6336926573385</v>
      </c>
      <c r="M46" s="105">
        <f>M42-'SHK u. WHK'!P16</f>
        <v>2947.1787799000003</v>
      </c>
      <c r="N46" s="102">
        <f>N42-'SHK u. WHK'!F16</f>
        <v>1288.2556819000001</v>
      </c>
    </row>
    <row r="47" spans="1:15" s="17" customFormat="1" x14ac:dyDescent="0.3">
      <c r="B47" s="310"/>
      <c r="C47" s="301"/>
      <c r="D47" s="301"/>
      <c r="E47" s="302"/>
      <c r="G47" s="351" t="s">
        <v>86</v>
      </c>
      <c r="H47" s="352"/>
      <c r="I47" s="102">
        <f>I43-J25</f>
        <v>23.689936780673897</v>
      </c>
      <c r="J47" s="102">
        <f>J43-J25</f>
        <v>6.6899367806738965</v>
      </c>
      <c r="K47" s="172">
        <f>K43-J25</f>
        <v>-8.3100632193261035</v>
      </c>
      <c r="L47" s="105">
        <f>L43-J25</f>
        <v>-16.310063219326103</v>
      </c>
      <c r="M47" s="105">
        <f>M43-'SHK u. WHK'!N16</f>
        <v>14.157295</v>
      </c>
      <c r="N47" s="102">
        <f>N43-'SHK u. WHK'!D16</f>
        <v>3.1363950000000003</v>
      </c>
    </row>
    <row r="48" spans="1:15" s="17" customFormat="1" ht="15" thickBot="1" x14ac:dyDescent="0.35">
      <c r="B48" s="35" t="s">
        <v>49</v>
      </c>
      <c r="C48" s="33"/>
      <c r="D48" s="33"/>
      <c r="E48" s="33"/>
    </row>
    <row r="49" spans="2:25" s="17" customFormat="1" ht="15" thickBot="1" x14ac:dyDescent="0.35">
      <c r="B49" s="33" t="s">
        <v>50</v>
      </c>
      <c r="C49" s="33"/>
      <c r="D49" s="36">
        <f>'Quelle '!$S$21</f>
        <v>9.2999999999999999E-2</v>
      </c>
      <c r="E49" s="34">
        <f>D49*E18</f>
        <v>407.83103999999997</v>
      </c>
      <c r="F49" s="55"/>
      <c r="L49" s="347" t="s">
        <v>206</v>
      </c>
      <c r="M49" s="348"/>
      <c r="N49" s="262"/>
      <c r="O49" s="55"/>
    </row>
    <row r="50" spans="2:25" ht="15" thickBot="1" x14ac:dyDescent="0.35">
      <c r="B50" s="33" t="s">
        <v>51</v>
      </c>
      <c r="C50" s="33"/>
      <c r="D50" s="36">
        <f>'Quelle '!$S$22</f>
        <v>1.2E-2</v>
      </c>
      <c r="E50" s="34">
        <f>D50*E18</f>
        <v>52.623359999999998</v>
      </c>
      <c r="G50" s="344" t="s">
        <v>173</v>
      </c>
      <c r="H50" s="345"/>
      <c r="I50" s="345"/>
      <c r="J50" s="346"/>
      <c r="L50" s="349" t="s">
        <v>76</v>
      </c>
      <c r="M50" s="350"/>
      <c r="N50" s="169">
        <v>1</v>
      </c>
      <c r="O50" s="169">
        <v>2</v>
      </c>
      <c r="P50" s="170">
        <v>3</v>
      </c>
      <c r="Q50" s="169">
        <v>4</v>
      </c>
      <c r="R50" s="169">
        <v>4</v>
      </c>
      <c r="S50" s="169">
        <v>5</v>
      </c>
    </row>
    <row r="51" spans="2:25" x14ac:dyDescent="0.3">
      <c r="B51" s="33" t="s">
        <v>52</v>
      </c>
      <c r="C51" s="33"/>
      <c r="D51" s="36">
        <f>'Quelle '!$S$23</f>
        <v>7.9000000000000001E-2</v>
      </c>
      <c r="E51" s="34">
        <f>D51*E18</f>
        <v>346.43711999999999</v>
      </c>
      <c r="G51" s="40" t="s">
        <v>62</v>
      </c>
      <c r="H51" s="40"/>
      <c r="I51" s="40"/>
      <c r="J51" s="239">
        <f>(J18*12)+J18*I24/100</f>
        <v>56301.080772863992</v>
      </c>
      <c r="L51" s="351" t="s">
        <v>74</v>
      </c>
      <c r="M51" s="352"/>
      <c r="N51" s="171" t="s">
        <v>83</v>
      </c>
      <c r="O51" s="171" t="s">
        <v>156</v>
      </c>
      <c r="P51" s="172" t="s">
        <v>157</v>
      </c>
      <c r="Q51" s="103" t="s">
        <v>158</v>
      </c>
      <c r="R51" s="103" t="s">
        <v>82</v>
      </c>
      <c r="S51" s="171" t="s">
        <v>159</v>
      </c>
    </row>
    <row r="52" spans="2:25" x14ac:dyDescent="0.3">
      <c r="B52" s="33" t="s">
        <v>53</v>
      </c>
      <c r="C52" s="33"/>
      <c r="D52" s="36">
        <f>'Quelle '!$S$24</f>
        <v>1.525E-2</v>
      </c>
      <c r="E52" s="34">
        <f>D52*E18</f>
        <v>66.875519999999995</v>
      </c>
      <c r="G52" s="33" t="s">
        <v>63</v>
      </c>
      <c r="H52" s="33"/>
      <c r="I52" s="33"/>
      <c r="J52" s="34">
        <f>(SUM(J19:J22)*12)+(SUM(J19:J22)*I24/100)</f>
        <v>16810.523539024078</v>
      </c>
      <c r="L52" s="351" t="s">
        <v>75</v>
      </c>
      <c r="M52" s="352"/>
      <c r="N52" s="102">
        <f t="shared" ref="N52:N53" si="1">I42</f>
        <v>9350</v>
      </c>
      <c r="O52" s="102">
        <f t="shared" ref="O52:O53" si="2">J42</f>
        <v>7012</v>
      </c>
      <c r="P52" s="105">
        <f t="shared" ref="P52:P53" si="3">K42</f>
        <v>4950</v>
      </c>
      <c r="Q52" s="105">
        <f t="shared" ref="Q52:Q53" si="4">L42</f>
        <v>3850</v>
      </c>
      <c r="R52" s="105">
        <f t="shared" ref="R52:R53" si="5">M42</f>
        <v>3850</v>
      </c>
      <c r="S52" s="102">
        <f t="shared" ref="S52:S53" si="6">N42</f>
        <v>2062</v>
      </c>
    </row>
    <row r="53" spans="2:25" x14ac:dyDescent="0.3">
      <c r="B53" s="33" t="s">
        <v>185</v>
      </c>
      <c r="C53" s="33"/>
      <c r="D53" s="36">
        <f>'Quelle '!$S$25</f>
        <v>2.75E-2</v>
      </c>
      <c r="E53" s="34">
        <f>D53*E18</f>
        <v>120.59519999999999</v>
      </c>
      <c r="G53" s="33" t="s">
        <v>67</v>
      </c>
      <c r="H53" s="33"/>
      <c r="I53" s="33"/>
      <c r="J53" s="34">
        <f>J51/12</f>
        <v>4691.7567310719996</v>
      </c>
      <c r="L53" s="351" t="s">
        <v>77</v>
      </c>
      <c r="M53" s="352"/>
      <c r="N53" s="102">
        <f t="shared" si="1"/>
        <v>68</v>
      </c>
      <c r="O53" s="102">
        <f t="shared" si="2"/>
        <v>51</v>
      </c>
      <c r="P53" s="105">
        <f t="shared" si="3"/>
        <v>36</v>
      </c>
      <c r="Q53" s="105">
        <f t="shared" si="4"/>
        <v>28</v>
      </c>
      <c r="R53" s="105">
        <f t="shared" si="5"/>
        <v>28</v>
      </c>
      <c r="S53" s="102">
        <f t="shared" si="6"/>
        <v>15</v>
      </c>
    </row>
    <row r="54" spans="2:25" x14ac:dyDescent="0.3">
      <c r="B54" s="37" t="s">
        <v>55</v>
      </c>
      <c r="C54" s="33"/>
      <c r="D54" s="36">
        <f>'Quelle '!$S$26</f>
        <v>1.1999999999999999E-3</v>
      </c>
      <c r="E54" s="34">
        <f>D54*E18</f>
        <v>5.2623359999999995</v>
      </c>
      <c r="G54" s="33" t="s">
        <v>68</v>
      </c>
      <c r="H54" s="33"/>
      <c r="I54" s="33"/>
      <c r="J54" s="34">
        <f>J52/12</f>
        <v>1400.8769615853398</v>
      </c>
      <c r="L54" s="351" t="s">
        <v>78</v>
      </c>
      <c r="M54" s="352"/>
      <c r="N54" s="173" t="str">
        <f>IF(O26&gt;N52,"ACHTUNG","OK")</f>
        <v>OK</v>
      </c>
      <c r="O54" s="173" t="str">
        <f>IF(O26&gt;O52,"ACHTUNG","OK")</f>
        <v>OK</v>
      </c>
      <c r="P54" s="174" t="str">
        <f>IF(O26&gt;P52,"ACHTUNG","OK")</f>
        <v>ACHTUNG</v>
      </c>
      <c r="Q54" s="173" t="str">
        <f>IF(O26&gt;Q52,"ACHTUNG","OK")</f>
        <v>ACHTUNG</v>
      </c>
      <c r="R54" s="173" t="str">
        <f>IF('SHK u. WHK'!P16&gt;Interreg!R52,"ACHTUNG","OK")</f>
        <v>OK</v>
      </c>
      <c r="S54" s="173" t="str">
        <f>IF('SHK u. WHK'!F16&gt;Interreg!S52,"ACHTUNG","OK")</f>
        <v>OK</v>
      </c>
      <c r="T54" s="17" t="s">
        <v>213</v>
      </c>
    </row>
    <row r="55" spans="2:25" x14ac:dyDescent="0.3">
      <c r="B55" s="38" t="s">
        <v>56</v>
      </c>
      <c r="C55" s="33"/>
      <c r="D55" s="36">
        <f>SUM(D49:D54)</f>
        <v>0.22794999999999999</v>
      </c>
      <c r="E55" s="39">
        <f>D55*E18</f>
        <v>999.62457599999993</v>
      </c>
      <c r="G55" s="33" t="s">
        <v>69</v>
      </c>
      <c r="H55" s="33"/>
      <c r="I55" s="33"/>
      <c r="J55" s="34">
        <f>J51/('Quelle '!R4*C6)</f>
        <v>34.121867135069088</v>
      </c>
      <c r="L55" s="351" t="s">
        <v>79</v>
      </c>
      <c r="M55" s="352"/>
      <c r="N55" s="173" t="str">
        <f>IF(O25&gt;Interreg!N53,"ACHTUNG","OK")</f>
        <v>OK</v>
      </c>
      <c r="O55" s="173" t="str">
        <f>IF(O25&gt;Interreg!O53,"ACHTUNG","OK")</f>
        <v>OK</v>
      </c>
      <c r="P55" s="174" t="str">
        <f>IF(O25&gt;Interreg!P53,"ACHTUNG","OK")</f>
        <v>ACHTUNG</v>
      </c>
      <c r="Q55" s="173" t="str">
        <f>IF(O25&gt;Interreg!Q53,"ACHTUNG","OK")</f>
        <v>ACHTUNG</v>
      </c>
      <c r="R55" s="173" t="str">
        <f>IF('SHK u. WHK'!N16&gt;Interreg!R53,"ACHTUNG","OK")</f>
        <v>OK</v>
      </c>
      <c r="S55" s="173" t="str">
        <f>IF('SHK u. WHK'!D16&gt;Interreg!S53,"ACHTUNG","OK")</f>
        <v>OK</v>
      </c>
    </row>
    <row r="56" spans="2:25" x14ac:dyDescent="0.3">
      <c r="G56" s="33" t="s">
        <v>70</v>
      </c>
      <c r="H56" s="33"/>
      <c r="I56" s="33"/>
      <c r="J56" s="34">
        <f>J52/('Quelle '!R4*C6)</f>
        <v>10.188196084257017</v>
      </c>
      <c r="L56" s="351" t="s">
        <v>85</v>
      </c>
      <c r="M56" s="352"/>
      <c r="N56" s="102">
        <f>N52-O26</f>
        <v>3075.450477730441</v>
      </c>
      <c r="O56" s="102">
        <f>O52-O26</f>
        <v>737.45047773044098</v>
      </c>
      <c r="P56" s="102">
        <f>P52-O26</f>
        <v>-1324.549522269559</v>
      </c>
      <c r="Q56" s="102">
        <f>Q52-O26</f>
        <v>-2424.549522269559</v>
      </c>
      <c r="R56" s="105">
        <f>R52-'SHK u. WHK'!P16</f>
        <v>2947.1787799000003</v>
      </c>
      <c r="S56" s="102">
        <f>S52-'SHK u. WHK'!F16</f>
        <v>1288.2556819000001</v>
      </c>
    </row>
    <row r="57" spans="2:25" x14ac:dyDescent="0.3">
      <c r="B57" t="s">
        <v>45</v>
      </c>
      <c r="G57" s="310"/>
      <c r="H57" s="301"/>
      <c r="I57" s="301"/>
      <c r="J57" s="302"/>
      <c r="L57" s="351" t="s">
        <v>86</v>
      </c>
      <c r="M57" s="352"/>
      <c r="N57" s="102">
        <f>N53-O25</f>
        <v>22.366912565312298</v>
      </c>
      <c r="O57" s="102">
        <f>O53-O25</f>
        <v>5.3669125653122975</v>
      </c>
      <c r="P57" s="102">
        <f>P53-O25</f>
        <v>-9.6330874346877025</v>
      </c>
      <c r="Q57" s="102">
        <f>Q53-O25</f>
        <v>-17.633087434687702</v>
      </c>
      <c r="R57" s="105">
        <f>R53-'SHK u. WHK'!N16</f>
        <v>14.157295</v>
      </c>
      <c r="S57" s="102">
        <f>S53-'SHK u. WHK'!D16</f>
        <v>3.1363950000000003</v>
      </c>
    </row>
    <row r="58" spans="2:25" ht="15" thickBot="1" x14ac:dyDescent="0.35">
      <c r="B58" t="s">
        <v>46</v>
      </c>
      <c r="G58" s="35" t="s">
        <v>49</v>
      </c>
      <c r="H58" s="33"/>
      <c r="I58" s="33"/>
      <c r="J58" s="33"/>
      <c r="L58" s="17"/>
      <c r="M58" s="17"/>
      <c r="N58" s="17"/>
      <c r="O58" s="17"/>
    </row>
    <row r="59" spans="2:25" ht="15" thickBot="1" x14ac:dyDescent="0.35">
      <c r="B59" t="s">
        <v>47</v>
      </c>
      <c r="G59" s="33" t="s">
        <v>50</v>
      </c>
      <c r="H59" s="33"/>
      <c r="I59" s="36">
        <f>'Quelle '!$S$21</f>
        <v>9.2999999999999999E-2</v>
      </c>
      <c r="J59" s="34">
        <f>I59*J18</f>
        <v>420.06597119999998</v>
      </c>
      <c r="L59" s="17"/>
      <c r="M59" s="17"/>
      <c r="N59" s="17"/>
      <c r="O59" s="17"/>
      <c r="Q59" s="347" t="s">
        <v>174</v>
      </c>
      <c r="R59" s="348"/>
      <c r="S59" s="262"/>
      <c r="T59" s="55"/>
    </row>
    <row r="60" spans="2:25" ht="15" thickBot="1" x14ac:dyDescent="0.35">
      <c r="B60" t="s">
        <v>48</v>
      </c>
      <c r="G60" s="33" t="s">
        <v>51</v>
      </c>
      <c r="H60" s="33"/>
      <c r="I60" s="36">
        <f>'Quelle '!$S$22</f>
        <v>1.2E-2</v>
      </c>
      <c r="J60" s="34">
        <f>I60*J18</f>
        <v>54.202060799999998</v>
      </c>
      <c r="L60" s="344" t="s">
        <v>209</v>
      </c>
      <c r="M60" s="345"/>
      <c r="N60" s="345"/>
      <c r="O60" s="346"/>
      <c r="Q60" s="349" t="s">
        <v>76</v>
      </c>
      <c r="R60" s="350"/>
      <c r="S60" s="169">
        <v>1</v>
      </c>
      <c r="T60" s="169">
        <v>2</v>
      </c>
      <c r="U60" s="170">
        <v>3</v>
      </c>
      <c r="V60" s="169">
        <v>4</v>
      </c>
      <c r="W60" s="169">
        <v>4</v>
      </c>
      <c r="X60" s="169">
        <v>5</v>
      </c>
    </row>
    <row r="61" spans="2:25" x14ac:dyDescent="0.3">
      <c r="B61" t="s">
        <v>189</v>
      </c>
      <c r="G61" s="33" t="s">
        <v>52</v>
      </c>
      <c r="H61" s="33"/>
      <c r="I61" s="36">
        <f>'Quelle '!$S$23</f>
        <v>7.9000000000000001E-2</v>
      </c>
      <c r="J61" s="34">
        <f>I61*J18</f>
        <v>356.83023359999999</v>
      </c>
      <c r="L61" s="40" t="s">
        <v>62</v>
      </c>
      <c r="M61" s="40"/>
      <c r="N61" s="40"/>
      <c r="O61" s="239">
        <f>(O18*12)+O18*N24/100</f>
        <v>57990.113196049919</v>
      </c>
      <c r="Q61" s="351" t="s">
        <v>74</v>
      </c>
      <c r="R61" s="352"/>
      <c r="S61" s="171" t="s">
        <v>83</v>
      </c>
      <c r="T61" s="171" t="s">
        <v>156</v>
      </c>
      <c r="U61" s="172" t="s">
        <v>157</v>
      </c>
      <c r="V61" s="103" t="s">
        <v>158</v>
      </c>
      <c r="W61" s="103" t="s">
        <v>82</v>
      </c>
      <c r="X61" s="171" t="s">
        <v>159</v>
      </c>
    </row>
    <row r="62" spans="2:25" x14ac:dyDescent="0.3">
      <c r="G62" s="33" t="s">
        <v>53</v>
      </c>
      <c r="H62" s="33"/>
      <c r="I62" s="36">
        <f>'Quelle '!$S$24</f>
        <v>1.525E-2</v>
      </c>
      <c r="J62" s="34">
        <f>I62*J18</f>
        <v>68.881785599999986</v>
      </c>
      <c r="L62" s="33" t="s">
        <v>63</v>
      </c>
      <c r="M62" s="33"/>
      <c r="N62" s="33"/>
      <c r="O62" s="34">
        <f>(SUM(O19:O22)*12)+(SUM(O19:O22)*N24/100)</f>
        <v>17304.481071184797</v>
      </c>
      <c r="Q62" s="351" t="s">
        <v>75</v>
      </c>
      <c r="R62" s="352"/>
      <c r="S62" s="102">
        <f t="shared" ref="S62:S63" si="7">N52</f>
        <v>9350</v>
      </c>
      <c r="T62" s="102">
        <f t="shared" ref="T62:T63" si="8">O52</f>
        <v>7012</v>
      </c>
      <c r="U62" s="105">
        <f t="shared" ref="U62:U63" si="9">P52</f>
        <v>4950</v>
      </c>
      <c r="V62" s="105">
        <f t="shared" ref="V62:V63" si="10">Q52</f>
        <v>3850</v>
      </c>
      <c r="W62" s="105">
        <f t="shared" ref="W62:W63" si="11">R52</f>
        <v>3850</v>
      </c>
      <c r="X62" s="102">
        <f t="shared" ref="X62:X63" si="12">S52</f>
        <v>2062</v>
      </c>
    </row>
    <row r="63" spans="2:25" x14ac:dyDescent="0.3">
      <c r="G63" s="33" t="s">
        <v>185</v>
      </c>
      <c r="H63" s="33"/>
      <c r="I63" s="36">
        <f>'Quelle '!$S$25</f>
        <v>2.75E-2</v>
      </c>
      <c r="J63" s="34">
        <f>I63*J18</f>
        <v>124.21305599999999</v>
      </c>
      <c r="L63" s="33" t="s">
        <v>67</v>
      </c>
      <c r="M63" s="33"/>
      <c r="N63" s="33"/>
      <c r="O63" s="34">
        <f>O61/12</f>
        <v>4832.5094330041602</v>
      </c>
      <c r="Q63" s="351" t="s">
        <v>77</v>
      </c>
      <c r="R63" s="352"/>
      <c r="S63" s="102">
        <f t="shared" si="7"/>
        <v>68</v>
      </c>
      <c r="T63" s="102">
        <f t="shared" si="8"/>
        <v>51</v>
      </c>
      <c r="U63" s="105">
        <f t="shared" si="9"/>
        <v>36</v>
      </c>
      <c r="V63" s="105">
        <f t="shared" si="10"/>
        <v>28</v>
      </c>
      <c r="W63" s="105">
        <f t="shared" si="11"/>
        <v>28</v>
      </c>
      <c r="X63" s="102">
        <f t="shared" si="12"/>
        <v>15</v>
      </c>
    </row>
    <row r="64" spans="2:25" x14ac:dyDescent="0.3">
      <c r="G64" s="37" t="s">
        <v>55</v>
      </c>
      <c r="H64" s="33"/>
      <c r="I64" s="36">
        <f>'Quelle '!$S$26</f>
        <v>1.1999999999999999E-3</v>
      </c>
      <c r="J64" s="34">
        <f>I64*J18</f>
        <v>5.4202060799999989</v>
      </c>
      <c r="L64" s="33" t="s">
        <v>68</v>
      </c>
      <c r="M64" s="33"/>
      <c r="N64" s="33"/>
      <c r="O64" s="34">
        <f>O62/12</f>
        <v>1442.0400892653997</v>
      </c>
      <c r="Q64" s="351" t="s">
        <v>78</v>
      </c>
      <c r="R64" s="352"/>
      <c r="S64" s="173" t="str">
        <f>IF(T26&gt;S62,"ACHTUNG","OK")</f>
        <v>OK</v>
      </c>
      <c r="T64" s="173" t="str">
        <f>IF(T26&gt;T62,"ACHTUNG","OK")</f>
        <v>OK</v>
      </c>
      <c r="U64" s="174" t="str">
        <f>IF(T26&gt;U62,"ACHTUNG","OK")</f>
        <v>ACHTUNG</v>
      </c>
      <c r="V64" s="173" t="str">
        <f>IF(T26&gt;V62,"ACHTUNG","OK")</f>
        <v>ACHTUNG</v>
      </c>
      <c r="W64" s="173" t="str">
        <f>IF('SHK u. WHK'!P16&gt;Interreg!W62,"ACHTUNG","OK")</f>
        <v>OK</v>
      </c>
      <c r="X64" s="173" t="str">
        <f>IF('SHK u. WHK'!F16&gt;Interreg!X62,"ACHTUNG","OK")</f>
        <v>OK</v>
      </c>
      <c r="Y64" s="17" t="s">
        <v>213</v>
      </c>
    </row>
    <row r="65" spans="7:24" x14ac:dyDescent="0.3">
      <c r="G65" s="38" t="s">
        <v>56</v>
      </c>
      <c r="H65" s="33"/>
      <c r="I65" s="36">
        <f>SUM(I59:I64)</f>
        <v>0.22794999999999999</v>
      </c>
      <c r="J65" s="39">
        <f>I65*J18</f>
        <v>1029.6133132799998</v>
      </c>
      <c r="L65" s="33" t="s">
        <v>69</v>
      </c>
      <c r="M65" s="33"/>
      <c r="N65" s="33"/>
      <c r="O65" s="34">
        <f>O61/('Quelle '!R4*C6)</f>
        <v>35.145523149121161</v>
      </c>
      <c r="Q65" s="351" t="s">
        <v>79</v>
      </c>
      <c r="R65" s="352"/>
      <c r="S65" s="173" t="str">
        <f>IF(T25&gt;Interreg!S63,"ACHTUNG","OK")</f>
        <v>OK</v>
      </c>
      <c r="T65" s="173" t="str">
        <f>IF(T25&gt;Interreg!T63,"ACHTUNG","OK")</f>
        <v>OK</v>
      </c>
      <c r="U65" s="174" t="str">
        <f>IF(T25&gt;Interreg!U63,"ACHTUNG","OK")</f>
        <v>ACHTUNG</v>
      </c>
      <c r="V65" s="173" t="str">
        <f>IF(T25&gt;Interreg!V63,"ACHTUNG","OK")</f>
        <v>ACHTUNG</v>
      </c>
      <c r="W65" s="173" t="str">
        <f>IF('SHK u. WHK'!N16&gt;Interreg!W63,"ACHTUNG","OK")</f>
        <v>OK</v>
      </c>
      <c r="X65" s="173" t="str">
        <f>IF('SHK u. WHK'!D16&gt;Interreg!X63,"ACHTUNG","OK")</f>
        <v>OK</v>
      </c>
    </row>
    <row r="66" spans="7:24" x14ac:dyDescent="0.3">
      <c r="L66" s="33" t="s">
        <v>70</v>
      </c>
      <c r="M66" s="33"/>
      <c r="N66" s="33"/>
      <c r="O66" s="34">
        <f>O62/('Quelle '!R4*C6)</f>
        <v>10.487564285566544</v>
      </c>
      <c r="Q66" s="351" t="s">
        <v>85</v>
      </c>
      <c r="R66" s="352"/>
      <c r="S66" s="102">
        <f>S62-T26</f>
        <v>2888.0771732298545</v>
      </c>
      <c r="T66" s="102">
        <f>T62-T26</f>
        <v>550.07717322985445</v>
      </c>
      <c r="U66" s="102">
        <f>U62-T26</f>
        <v>-1511.9228267701455</v>
      </c>
      <c r="V66" s="102">
        <f>V62-T26</f>
        <v>-2611.9228267701455</v>
      </c>
      <c r="W66" s="105">
        <f>W62-'SHK u. WHK'!P16</f>
        <v>2947.1787799000003</v>
      </c>
      <c r="X66" s="102">
        <f>X62-'SHK u. WHK'!F16</f>
        <v>1288.2556819000001</v>
      </c>
    </row>
    <row r="67" spans="7:24" x14ac:dyDescent="0.3">
      <c r="L67" s="310"/>
      <c r="M67" s="301"/>
      <c r="N67" s="301"/>
      <c r="O67" s="302"/>
      <c r="Q67" s="351" t="s">
        <v>86</v>
      </c>
      <c r="R67" s="352"/>
      <c r="S67" s="102">
        <f>S63-T25</f>
        <v>29.255962285387284</v>
      </c>
      <c r="T67" s="102">
        <f>T63-T25</f>
        <v>12.255962285387284</v>
      </c>
      <c r="U67" s="102">
        <f>U63-T25</f>
        <v>-2.7440377146127162</v>
      </c>
      <c r="V67" s="102">
        <f>V63-T25</f>
        <v>-10.744037714612716</v>
      </c>
      <c r="W67" s="105">
        <f>W63-'SHK u. WHK'!N16</f>
        <v>14.157295</v>
      </c>
      <c r="X67" s="102">
        <f>X63-'SHK u. WHK'!D16</f>
        <v>3.1363950000000003</v>
      </c>
    </row>
    <row r="68" spans="7:24" x14ac:dyDescent="0.3">
      <c r="L68" s="35" t="s">
        <v>49</v>
      </c>
      <c r="M68" s="33"/>
      <c r="N68" s="33"/>
      <c r="O68" s="33"/>
      <c r="Q68" s="17"/>
      <c r="R68" s="17"/>
      <c r="S68" s="17"/>
      <c r="T68" s="17"/>
    </row>
    <row r="69" spans="7:24" ht="15" thickBot="1" x14ac:dyDescent="0.35">
      <c r="L69" s="33" t="s">
        <v>50</v>
      </c>
      <c r="M69" s="33"/>
      <c r="N69" s="36">
        <f>'Quelle '!$S$21</f>
        <v>9.2999999999999999E-2</v>
      </c>
      <c r="O69" s="34">
        <f>N69*O18</f>
        <v>432.66795033599993</v>
      </c>
      <c r="Q69" s="17"/>
      <c r="R69" s="17"/>
      <c r="S69" s="17"/>
      <c r="T69" s="17"/>
    </row>
    <row r="70" spans="7:24" ht="15" thickBot="1" x14ac:dyDescent="0.35">
      <c r="L70" s="33" t="s">
        <v>51</v>
      </c>
      <c r="M70" s="33"/>
      <c r="N70" s="36">
        <f>'Quelle '!$S$22</f>
        <v>1.2E-2</v>
      </c>
      <c r="O70" s="34">
        <f>N70*O18</f>
        <v>55.828122623999995</v>
      </c>
      <c r="Q70" s="344" t="s">
        <v>210</v>
      </c>
      <c r="R70" s="345"/>
      <c r="S70" s="345"/>
      <c r="T70" s="346"/>
    </row>
    <row r="71" spans="7:24" x14ac:dyDescent="0.3">
      <c r="L71" s="33" t="s">
        <v>52</v>
      </c>
      <c r="M71" s="33"/>
      <c r="N71" s="36">
        <f>'Quelle '!$S$23</f>
        <v>7.9000000000000001E-2</v>
      </c>
      <c r="O71" s="34">
        <f>N71*O18</f>
        <v>367.53514060799995</v>
      </c>
      <c r="Q71" s="40" t="s">
        <v>62</v>
      </c>
      <c r="R71" s="40"/>
      <c r="S71" s="40"/>
      <c r="T71" s="239">
        <f>(T18*12)+T18*S24/100</f>
        <v>59729.816591931412</v>
      </c>
    </row>
    <row r="72" spans="7:24" x14ac:dyDescent="0.3">
      <c r="L72" s="33" t="s">
        <v>53</v>
      </c>
      <c r="M72" s="33"/>
      <c r="N72" s="36">
        <f>'Quelle '!$S$24</f>
        <v>1.525E-2</v>
      </c>
      <c r="O72" s="34">
        <f>N72*O18</f>
        <v>70.948239167999986</v>
      </c>
      <c r="Q72" s="33" t="s">
        <v>63</v>
      </c>
      <c r="R72" s="33"/>
      <c r="S72" s="33"/>
      <c r="T72" s="34">
        <f>(SUM(T20:T22)*12)+(SUM(T20:T22)*S24/100)</f>
        <v>4197.8456371795755</v>
      </c>
    </row>
    <row r="73" spans="7:24" x14ac:dyDescent="0.3">
      <c r="L73" s="33" t="s">
        <v>185</v>
      </c>
      <c r="M73" s="33"/>
      <c r="N73" s="36">
        <f>'Quelle '!$S$25</f>
        <v>2.75E-2</v>
      </c>
      <c r="O73" s="34">
        <f>N73*O18</f>
        <v>127.93944767999999</v>
      </c>
      <c r="Q73" s="33" t="s">
        <v>67</v>
      </c>
      <c r="R73" s="33"/>
      <c r="S73" s="33"/>
      <c r="T73" s="34">
        <f>T71/12</f>
        <v>4977.4847159942847</v>
      </c>
    </row>
    <row r="74" spans="7:24" x14ac:dyDescent="0.3">
      <c r="L74" s="37" t="s">
        <v>55</v>
      </c>
      <c r="M74" s="33"/>
      <c r="N74" s="36">
        <f>'Quelle '!$S$26</f>
        <v>1.1999999999999999E-3</v>
      </c>
      <c r="O74" s="34">
        <f>N74*O18</f>
        <v>5.5828122623999992</v>
      </c>
      <c r="Q74" s="33" t="s">
        <v>68</v>
      </c>
      <c r="R74" s="33"/>
      <c r="S74" s="33"/>
      <c r="T74" s="34">
        <f>T72/12</f>
        <v>349.82046976496463</v>
      </c>
    </row>
    <row r="75" spans="7:24" x14ac:dyDescent="0.3">
      <c r="L75" s="38" t="s">
        <v>56</v>
      </c>
      <c r="M75" s="33"/>
      <c r="N75" s="36">
        <f>SUM(N69:N74)</f>
        <v>0.22794999999999999</v>
      </c>
      <c r="O75" s="39">
        <f>N75*O18</f>
        <v>1060.5017126783998</v>
      </c>
      <c r="Q75" s="33" t="s">
        <v>69</v>
      </c>
      <c r="R75" s="33"/>
      <c r="S75" s="33"/>
      <c r="T75" s="34">
        <f>T71/('Quelle '!R4*C6)</f>
        <v>36.199888843594792</v>
      </c>
    </row>
    <row r="76" spans="7:24" x14ac:dyDescent="0.3">
      <c r="Q76" s="33" t="s">
        <v>70</v>
      </c>
      <c r="R76" s="33"/>
      <c r="S76" s="33"/>
      <c r="T76" s="34">
        <f>T72/('Quelle '!R4*C6)</f>
        <v>2.5441488710179248</v>
      </c>
    </row>
    <row r="77" spans="7:24" x14ac:dyDescent="0.3">
      <c r="Q77" s="310"/>
      <c r="R77" s="301"/>
      <c r="S77" s="301"/>
      <c r="T77" s="302"/>
    </row>
    <row r="78" spans="7:24" x14ac:dyDescent="0.3">
      <c r="Q78" s="35" t="s">
        <v>49</v>
      </c>
      <c r="R78" s="33"/>
      <c r="S78" s="33"/>
      <c r="T78" s="33"/>
    </row>
    <row r="79" spans="7:24" x14ac:dyDescent="0.3">
      <c r="Q79" s="33" t="s">
        <v>50</v>
      </c>
      <c r="R79" s="33"/>
      <c r="S79" s="36">
        <f>'Quelle '!$S$21</f>
        <v>9.2999999999999999E-2</v>
      </c>
      <c r="T79" s="34">
        <f>S79*T18</f>
        <v>445.64798884607995</v>
      </c>
    </row>
    <row r="80" spans="7:24" x14ac:dyDescent="0.3">
      <c r="Q80" s="33" t="s">
        <v>51</v>
      </c>
      <c r="R80" s="33"/>
      <c r="S80" s="36">
        <f>'Quelle '!$S$22</f>
        <v>1.2E-2</v>
      </c>
      <c r="T80" s="34">
        <f>S80*T18</f>
        <v>57.502966302719997</v>
      </c>
    </row>
    <row r="81" spans="17:20" x14ac:dyDescent="0.3">
      <c r="Q81" s="33" t="s">
        <v>52</v>
      </c>
      <c r="R81" s="33"/>
      <c r="S81" s="36">
        <f>'Quelle '!$S$23</f>
        <v>7.9000000000000001E-2</v>
      </c>
      <c r="T81" s="34">
        <f>S81*T18</f>
        <v>378.56119482623996</v>
      </c>
    </row>
    <row r="82" spans="17:20" x14ac:dyDescent="0.3">
      <c r="Q82" s="33" t="s">
        <v>53</v>
      </c>
      <c r="R82" s="33"/>
      <c r="S82" s="36">
        <f>'Quelle '!$S$24</f>
        <v>1.525E-2</v>
      </c>
      <c r="T82" s="34">
        <f>S82*T18</f>
        <v>73.076686343039995</v>
      </c>
    </row>
    <row r="83" spans="17:20" x14ac:dyDescent="0.3">
      <c r="Q83" s="33" t="s">
        <v>185</v>
      </c>
      <c r="R83" s="33"/>
      <c r="S83" s="36">
        <f>'Quelle '!$S$25</f>
        <v>2.75E-2</v>
      </c>
      <c r="T83" s="34">
        <f>S83*T18</f>
        <v>131.77763111039999</v>
      </c>
    </row>
    <row r="84" spans="17:20" x14ac:dyDescent="0.3">
      <c r="Q84" s="37" t="s">
        <v>55</v>
      </c>
      <c r="R84" s="33"/>
      <c r="S84" s="36">
        <f>'Quelle '!$S$26</f>
        <v>1.1999999999999999E-3</v>
      </c>
      <c r="T84" s="34">
        <f>S84*T18</f>
        <v>5.7502966302719987</v>
      </c>
    </row>
    <row r="85" spans="17:20" x14ac:dyDescent="0.3">
      <c r="Q85" s="38" t="s">
        <v>56</v>
      </c>
      <c r="R85" s="33"/>
      <c r="S85" s="36">
        <f>SUM(S79:S84)</f>
        <v>0.22794999999999999</v>
      </c>
      <c r="T85" s="39">
        <f>S85*T18</f>
        <v>1092.3167640587519</v>
      </c>
    </row>
  </sheetData>
  <mergeCells count="69">
    <mergeCell ref="Q77:T77"/>
    <mergeCell ref="Q64:R64"/>
    <mergeCell ref="Q65:R65"/>
    <mergeCell ref="Q66:R66"/>
    <mergeCell ref="Q67:R67"/>
    <mergeCell ref="Q70:T70"/>
    <mergeCell ref="Q59:R59"/>
    <mergeCell ref="Q60:R60"/>
    <mergeCell ref="Q61:R61"/>
    <mergeCell ref="Q62:R62"/>
    <mergeCell ref="Q63:R63"/>
    <mergeCell ref="L55:M55"/>
    <mergeCell ref="L56:M56"/>
    <mergeCell ref="L57:M57"/>
    <mergeCell ref="L60:O60"/>
    <mergeCell ref="L67:O67"/>
    <mergeCell ref="L50:M50"/>
    <mergeCell ref="L51:M51"/>
    <mergeCell ref="L52:M52"/>
    <mergeCell ref="L53:M53"/>
    <mergeCell ref="L54:M54"/>
    <mergeCell ref="Q15:R15"/>
    <mergeCell ref="Q25:S25"/>
    <mergeCell ref="Q26:S26"/>
    <mergeCell ref="Q27:S27"/>
    <mergeCell ref="L49:M49"/>
    <mergeCell ref="L26:N26"/>
    <mergeCell ref="G15:H15"/>
    <mergeCell ref="G25:I25"/>
    <mergeCell ref="G10:H10"/>
    <mergeCell ref="G13:J13"/>
    <mergeCell ref="J3:O7"/>
    <mergeCell ref="L10:M10"/>
    <mergeCell ref="L13:O13"/>
    <mergeCell ref="L15:M15"/>
    <mergeCell ref="L25:N25"/>
    <mergeCell ref="Q10:R10"/>
    <mergeCell ref="Q13:T13"/>
    <mergeCell ref="B33:C33"/>
    <mergeCell ref="B31:C31"/>
    <mergeCell ref="B26:D26"/>
    <mergeCell ref="B27:D27"/>
    <mergeCell ref="B29:C29"/>
    <mergeCell ref="B32:C32"/>
    <mergeCell ref="B30:C30"/>
    <mergeCell ref="G26:I26"/>
    <mergeCell ref="G27:I27"/>
    <mergeCell ref="L27:N27"/>
    <mergeCell ref="B25:D25"/>
    <mergeCell ref="B10:C10"/>
    <mergeCell ref="B15:C15"/>
    <mergeCell ref="B13:E13"/>
    <mergeCell ref="B40:E40"/>
    <mergeCell ref="B47:E47"/>
    <mergeCell ref="B34:C34"/>
    <mergeCell ref="B35:C35"/>
    <mergeCell ref="B36:C36"/>
    <mergeCell ref="B37:C37"/>
    <mergeCell ref="G50:J50"/>
    <mergeCell ref="G57:J57"/>
    <mergeCell ref="G39:H39"/>
    <mergeCell ref="G40:H40"/>
    <mergeCell ref="G41:H41"/>
    <mergeCell ref="G42:H42"/>
    <mergeCell ref="G43:H43"/>
    <mergeCell ref="G44:H44"/>
    <mergeCell ref="G45:H45"/>
    <mergeCell ref="G46:H46"/>
    <mergeCell ref="G47:H47"/>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'Quelle '!$B$6:$G$6</xm:f>
          </x14:formula1>
          <xm:sqref>D10</xm:sqref>
        </x14:dataValidation>
        <x14:dataValidation type="list" allowBlank="1" showInputMessage="1" showErrorMessage="1">
          <x14:formula1>
            <xm:f>'Quelle '!$A$8:$A$26</xm:f>
          </x14:formula1>
          <xm:sqref>B10</xm:sqref>
        </x14:dataValidation>
        <x14:dataValidation type="list" allowBlank="1" showInputMessage="1" showErrorMessage="1">
          <x14:formula1>
            <xm:f>'Quelle '!$A$35:$A$53</xm:f>
          </x14:formula1>
          <xm:sqref>G10 Q10 L10</xm:sqref>
        </x14:dataValidation>
        <x14:dataValidation type="list" allowBlank="1" showInputMessage="1" showErrorMessage="1">
          <x14:formula1>
            <xm:f>'Quelle '!$B$33:$G$33</xm:f>
          </x14:formula1>
          <xm:sqref>I10 S10 N10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8"/>
  <sheetViews>
    <sheetView zoomScaleNormal="100" workbookViewId="0">
      <selection activeCell="C4" sqref="C1:I4"/>
    </sheetView>
  </sheetViews>
  <sheetFormatPr baseColWidth="10" defaultRowHeight="14.4" x14ac:dyDescent="0.3"/>
  <cols>
    <col min="1" max="1" width="19" customWidth="1"/>
    <col min="2" max="2" width="5.88671875" customWidth="1"/>
    <col min="3" max="3" width="25.33203125" customWidth="1"/>
    <col min="4" max="4" width="14.5546875" bestFit="1" customWidth="1"/>
    <col min="5" max="5" width="13" customWidth="1"/>
    <col min="6" max="6" width="15.5546875" customWidth="1"/>
    <col min="7" max="7" width="10.6640625" customWidth="1"/>
    <col min="8" max="8" width="23.88671875" customWidth="1"/>
    <col min="9" max="9" width="11.44140625" customWidth="1"/>
    <col min="11" max="12" width="14.44140625" customWidth="1"/>
    <col min="13" max="13" width="30.33203125" customWidth="1"/>
    <col min="14" max="14" width="11.33203125" bestFit="1" customWidth="1"/>
    <col min="15" max="15" width="11.88671875" bestFit="1" customWidth="1"/>
    <col min="16" max="16" width="11.5546875" customWidth="1"/>
  </cols>
  <sheetData>
    <row r="1" spans="1:16" ht="21" x14ac:dyDescent="0.4">
      <c r="A1" s="241" t="s">
        <v>192</v>
      </c>
      <c r="C1" s="3" t="s">
        <v>141</v>
      </c>
      <c r="F1" s="1" t="s">
        <v>150</v>
      </c>
    </row>
    <row r="2" spans="1:16" ht="9" customHeight="1" thickBot="1" x14ac:dyDescent="0.45">
      <c r="A2" s="241"/>
      <c r="C2" s="3"/>
      <c r="F2" s="1"/>
    </row>
    <row r="3" spans="1:16" ht="21.6" thickBot="1" x14ac:dyDescent="0.45">
      <c r="A3" s="241"/>
      <c r="C3" s="264" t="s">
        <v>113</v>
      </c>
      <c r="D3" s="265"/>
      <c r="E3" s="265"/>
      <c r="F3" s="265"/>
      <c r="G3" s="265"/>
      <c r="H3" s="265"/>
      <c r="I3" s="266"/>
    </row>
    <row r="4" spans="1:16" ht="15" thickBot="1" x14ac:dyDescent="0.35">
      <c r="A4" s="241"/>
      <c r="C4" s="267" t="s">
        <v>151</v>
      </c>
      <c r="D4" s="268"/>
      <c r="E4" s="268"/>
      <c r="F4" s="268"/>
      <c r="G4" s="268"/>
      <c r="H4" s="268"/>
      <c r="I4" s="269"/>
    </row>
    <row r="5" spans="1:16" ht="21" x14ac:dyDescent="0.4">
      <c r="A5" s="241"/>
      <c r="H5" s="153"/>
    </row>
    <row r="6" spans="1:16" ht="15" thickBot="1" x14ac:dyDescent="0.35"/>
    <row r="7" spans="1:16" ht="16.2" thickBot="1" x14ac:dyDescent="0.35">
      <c r="A7" s="1" t="s">
        <v>36</v>
      </c>
      <c r="C7" s="1" t="s">
        <v>37</v>
      </c>
      <c r="D7" s="148">
        <v>1</v>
      </c>
      <c r="E7" s="147"/>
      <c r="F7" t="s">
        <v>184</v>
      </c>
      <c r="H7" s="152" t="s">
        <v>144</v>
      </c>
      <c r="I7" s="152"/>
      <c r="J7" s="98"/>
    </row>
    <row r="8" spans="1:16" ht="15" thickBot="1" x14ac:dyDescent="0.35">
      <c r="C8" t="s">
        <v>148</v>
      </c>
      <c r="D8" s="147">
        <f>D7</f>
        <v>1</v>
      </c>
      <c r="F8" t="s">
        <v>149</v>
      </c>
    </row>
    <row r="9" spans="1:16" ht="15" thickBot="1" x14ac:dyDescent="0.35">
      <c r="H9" s="1" t="s">
        <v>145</v>
      </c>
      <c r="L9" s="151">
        <f>D20</f>
        <v>4385.28</v>
      </c>
    </row>
    <row r="10" spans="1:16" ht="15" thickBot="1" x14ac:dyDescent="0.35">
      <c r="C10" s="1" t="s">
        <v>9</v>
      </c>
      <c r="D10" s="1" t="s">
        <v>38</v>
      </c>
      <c r="H10" s="141"/>
      <c r="I10" s="141"/>
      <c r="J10" s="141"/>
      <c r="K10" s="17"/>
      <c r="L10" s="17"/>
      <c r="M10" s="141"/>
      <c r="N10" s="141"/>
      <c r="O10" s="141"/>
      <c r="P10" s="17"/>
    </row>
    <row r="11" spans="1:16" ht="15" thickBot="1" x14ac:dyDescent="0.35">
      <c r="C11" s="48" t="s">
        <v>19</v>
      </c>
      <c r="D11" s="48" t="s">
        <v>3</v>
      </c>
      <c r="H11" s="1" t="s">
        <v>146</v>
      </c>
      <c r="I11" s="53"/>
      <c r="J11" s="141"/>
      <c r="K11" s="17"/>
      <c r="L11" s="151">
        <f>F19</f>
        <v>5511.8901888</v>
      </c>
      <c r="M11" s="141"/>
      <c r="N11" s="141"/>
      <c r="O11" s="141"/>
      <c r="P11" s="17"/>
    </row>
    <row r="12" spans="1:16" x14ac:dyDescent="0.3">
      <c r="H12" s="17"/>
      <c r="I12" s="17"/>
      <c r="J12" s="17"/>
      <c r="K12" s="17"/>
      <c r="L12" s="17"/>
      <c r="M12" s="17"/>
      <c r="N12" s="17"/>
      <c r="O12" s="17"/>
      <c r="P12" s="17"/>
    </row>
    <row r="13" spans="1:16" ht="15.6" x14ac:dyDescent="0.3">
      <c r="A13" s="355" t="s">
        <v>186</v>
      </c>
      <c r="B13" s="356"/>
      <c r="C13" s="356"/>
      <c r="D13" s="356"/>
      <c r="E13" s="356"/>
      <c r="F13" s="356"/>
      <c r="H13" s="122" t="s">
        <v>147</v>
      </c>
      <c r="I13" s="54"/>
      <c r="J13" s="54"/>
      <c r="K13" s="118"/>
      <c r="L13" s="118">
        <f>(D23*D24)/(12*D8)</f>
        <v>4844.6041823999994</v>
      </c>
      <c r="M13" s="54"/>
      <c r="N13" s="54"/>
      <c r="O13" s="118"/>
      <c r="P13" s="17"/>
    </row>
    <row r="14" spans="1:16" s="2" customFormat="1" x14ac:dyDescent="0.3">
      <c r="C14" s="53"/>
      <c r="D14" s="54"/>
      <c r="E14" s="118"/>
      <c r="H14" s="139" t="s">
        <v>152</v>
      </c>
      <c r="I14" s="54"/>
      <c r="J14" s="54"/>
      <c r="K14" s="118"/>
      <c r="L14" s="17"/>
      <c r="M14" s="54"/>
      <c r="N14" s="54"/>
      <c r="O14" s="118"/>
      <c r="P14" s="17"/>
    </row>
    <row r="15" spans="1:16" s="2" customFormat="1" ht="15" thickBot="1" x14ac:dyDescent="0.35">
      <c r="C15" s="108" t="s">
        <v>132</v>
      </c>
      <c r="D15" s="149" t="s">
        <v>133</v>
      </c>
      <c r="E15" s="127" t="s">
        <v>134</v>
      </c>
      <c r="F15" s="149" t="s">
        <v>153</v>
      </c>
      <c r="H15" s="135"/>
      <c r="I15" s="54"/>
      <c r="J15" s="118"/>
      <c r="K15" s="54"/>
      <c r="L15" s="17"/>
      <c r="M15" s="135"/>
      <c r="N15" s="54"/>
      <c r="O15" s="118"/>
      <c r="P15" s="54"/>
    </row>
    <row r="16" spans="1:16" s="2" customFormat="1" ht="14.4" customHeight="1" x14ac:dyDescent="0.3">
      <c r="C16" s="126" t="s">
        <v>8</v>
      </c>
      <c r="D16" s="154">
        <f>E42</f>
        <v>2037.8834687999999</v>
      </c>
      <c r="E16" s="131">
        <v>1</v>
      </c>
      <c r="F16" s="155">
        <f>E16*D16</f>
        <v>2037.8834687999999</v>
      </c>
      <c r="H16" s="365" t="s">
        <v>191</v>
      </c>
      <c r="I16" s="366"/>
      <c r="J16" s="367"/>
      <c r="K16" s="118"/>
      <c r="L16" s="17"/>
      <c r="M16" s="145"/>
      <c r="N16" s="122"/>
      <c r="O16" s="146"/>
      <c r="P16" s="118"/>
    </row>
    <row r="17" spans="2:20" s="2" customFormat="1" x14ac:dyDescent="0.3">
      <c r="C17" s="126" t="s">
        <v>135</v>
      </c>
      <c r="D17" s="154">
        <f>E39</f>
        <v>6.65</v>
      </c>
      <c r="E17" s="131">
        <v>12</v>
      </c>
      <c r="F17" s="155">
        <f>E17*D17</f>
        <v>79.800000000000011</v>
      </c>
      <c r="H17" s="368"/>
      <c r="I17" s="303"/>
      <c r="J17" s="369"/>
      <c r="K17" s="118"/>
      <c r="L17" s="17"/>
      <c r="M17" s="145"/>
      <c r="N17" s="122"/>
      <c r="O17" s="146"/>
      <c r="P17" s="118"/>
    </row>
    <row r="18" spans="2:20" s="2" customFormat="1" x14ac:dyDescent="0.3">
      <c r="C18" s="126" t="s">
        <v>42</v>
      </c>
      <c r="D18" s="154">
        <f>E38</f>
        <v>282.85055999999997</v>
      </c>
      <c r="E18" s="131">
        <v>12</v>
      </c>
      <c r="F18" s="155">
        <f>E18*D18</f>
        <v>3394.2067199999997</v>
      </c>
      <c r="H18" s="368"/>
      <c r="I18" s="303"/>
      <c r="J18" s="369"/>
      <c r="K18" s="118"/>
      <c r="L18" s="17"/>
      <c r="M18" s="145"/>
      <c r="N18" s="122"/>
      <c r="O18" s="146"/>
      <c r="P18" s="118"/>
    </row>
    <row r="19" spans="2:20" s="2" customFormat="1" x14ac:dyDescent="0.3">
      <c r="C19" s="126"/>
      <c r="D19" s="125"/>
      <c r="E19" s="133" t="s">
        <v>56</v>
      </c>
      <c r="F19" s="156">
        <f>SUM(F16:F18)</f>
        <v>5511.8901888</v>
      </c>
      <c r="H19" s="368"/>
      <c r="I19" s="303"/>
      <c r="J19" s="369"/>
      <c r="K19" s="55"/>
      <c r="L19" s="17"/>
      <c r="M19" s="145"/>
      <c r="N19" s="54"/>
      <c r="O19" s="55"/>
      <c r="P19" s="55"/>
    </row>
    <row r="20" spans="2:20" s="2" customFormat="1" x14ac:dyDescent="0.3">
      <c r="C20" s="126" t="s">
        <v>136</v>
      </c>
      <c r="D20" s="150">
        <f>E36</f>
        <v>4385.28</v>
      </c>
      <c r="E20" s="131" t="s">
        <v>142</v>
      </c>
      <c r="F20" s="119">
        <f>12*D20</f>
        <v>52623.360000000001</v>
      </c>
      <c r="H20" s="368"/>
      <c r="I20" s="303"/>
      <c r="J20" s="369"/>
      <c r="K20" s="118"/>
      <c r="L20" s="17"/>
      <c r="M20" s="145"/>
      <c r="N20" s="122"/>
      <c r="O20" s="146"/>
      <c r="P20" s="118"/>
    </row>
    <row r="21" spans="2:20" s="2" customFormat="1" x14ac:dyDescent="0.3">
      <c r="C21" s="128" t="s">
        <v>137</v>
      </c>
      <c r="D21" s="129"/>
      <c r="E21" s="132"/>
      <c r="F21" s="50">
        <f>F19+F20</f>
        <v>58135.250188799997</v>
      </c>
      <c r="H21" s="368"/>
      <c r="I21" s="303"/>
      <c r="J21" s="369"/>
      <c r="K21" s="55"/>
      <c r="L21" s="17"/>
      <c r="M21" s="53"/>
      <c r="N21" s="54"/>
      <c r="O21" s="118"/>
      <c r="P21" s="55"/>
    </row>
    <row r="22" spans="2:20" s="2" customFormat="1" x14ac:dyDescent="0.3">
      <c r="C22" s="53"/>
      <c r="D22" s="54"/>
      <c r="E22" s="118"/>
      <c r="F22" s="124"/>
      <c r="H22" s="368"/>
      <c r="I22" s="303"/>
      <c r="J22" s="369"/>
      <c r="K22" s="118"/>
      <c r="M22" s="54"/>
      <c r="N22" s="54"/>
      <c r="O22" s="118"/>
    </row>
    <row r="23" spans="2:20" s="2" customFormat="1" x14ac:dyDescent="0.3">
      <c r="C23" s="53" t="s">
        <v>138</v>
      </c>
      <c r="D23" s="54">
        <f>'Quelle '!R9*52*' ZIM ab 2021'!D7</f>
        <v>2071.3159999999998</v>
      </c>
      <c r="E23" s="118"/>
      <c r="F23" s="123"/>
      <c r="H23" s="368"/>
      <c r="I23" s="303"/>
      <c r="J23" s="369"/>
      <c r="K23" s="118"/>
      <c r="M23" s="53"/>
      <c r="N23" s="54"/>
      <c r="O23" s="118"/>
    </row>
    <row r="24" spans="2:20" s="2" customFormat="1" x14ac:dyDescent="0.3">
      <c r="C24" s="53" t="s">
        <v>140</v>
      </c>
      <c r="D24" s="122">
        <f>F21/D23</f>
        <v>28.066818481004347</v>
      </c>
      <c r="E24" s="118"/>
      <c r="H24" s="368"/>
      <c r="I24" s="303"/>
      <c r="J24" s="369"/>
      <c r="K24" s="118"/>
      <c r="M24" s="53"/>
      <c r="N24" s="122"/>
      <c r="O24" s="118"/>
    </row>
    <row r="25" spans="2:20" s="2" customFormat="1" x14ac:dyDescent="0.3">
      <c r="C25" s="53" t="s">
        <v>143</v>
      </c>
      <c r="D25" s="134">
        <f>((D24*D23)/12)</f>
        <v>4844.6041823999994</v>
      </c>
      <c r="E25" s="118"/>
      <c r="H25" s="368"/>
      <c r="I25" s="303"/>
      <c r="J25" s="369"/>
      <c r="K25" s="118"/>
      <c r="M25" s="53"/>
      <c r="N25" s="134"/>
      <c r="O25" s="118"/>
    </row>
    <row r="26" spans="2:20" s="2" customFormat="1" x14ac:dyDescent="0.3">
      <c r="C26" s="53"/>
      <c r="D26" s="122"/>
      <c r="E26" s="118"/>
      <c r="H26" s="368"/>
      <c r="I26" s="303"/>
      <c r="J26" s="369"/>
      <c r="K26" s="118"/>
      <c r="M26" s="54"/>
      <c r="N26" s="54"/>
      <c r="O26" s="118"/>
    </row>
    <row r="27" spans="2:20" x14ac:dyDescent="0.3">
      <c r="C27" s="107"/>
      <c r="D27" s="117"/>
      <c r="E27" s="118"/>
      <c r="F27" s="2"/>
      <c r="G27" s="2"/>
      <c r="H27" s="368"/>
      <c r="I27" s="303"/>
      <c r="J27" s="369"/>
      <c r="K27" s="118"/>
      <c r="L27" s="2"/>
      <c r="M27" s="54"/>
      <c r="N27" s="54"/>
      <c r="O27" s="118"/>
    </row>
    <row r="28" spans="2:20" ht="9" customHeight="1" x14ac:dyDescent="0.3">
      <c r="C28" s="107"/>
      <c r="D28" s="117"/>
      <c r="E28" s="118"/>
      <c r="F28" s="2"/>
      <c r="G28" s="2"/>
      <c r="H28" s="368"/>
      <c r="I28" s="303"/>
      <c r="J28" s="369"/>
      <c r="K28" s="118"/>
      <c r="L28" s="2"/>
      <c r="M28" s="54"/>
      <c r="N28" s="54"/>
      <c r="O28" s="118"/>
    </row>
    <row r="29" spans="2:20" ht="44.25" customHeight="1" x14ac:dyDescent="0.3">
      <c r="G29" s="190"/>
      <c r="H29" s="368"/>
      <c r="I29" s="303"/>
      <c r="J29" s="369"/>
      <c r="K29" s="190"/>
      <c r="L29" s="190"/>
      <c r="M29" s="190"/>
      <c r="N29" s="190"/>
      <c r="O29" s="190"/>
      <c r="P29" s="190"/>
      <c r="Q29" s="190"/>
      <c r="R29" s="190"/>
      <c r="S29" s="190"/>
      <c r="T29" s="190"/>
    </row>
    <row r="30" spans="2:20" ht="15" thickBot="1" x14ac:dyDescent="0.35">
      <c r="H30" s="370"/>
      <c r="I30" s="371"/>
      <c r="J30" s="372"/>
    </row>
    <row r="31" spans="2:20" ht="21.6" thickBot="1" x14ac:dyDescent="0.45">
      <c r="B31" s="21"/>
      <c r="C31" s="22" t="s">
        <v>72</v>
      </c>
      <c r="D31" s="23"/>
      <c r="E31" s="24"/>
      <c r="H31" s="260"/>
      <c r="I31" s="260"/>
      <c r="J31" s="260"/>
    </row>
    <row r="32" spans="2:20" x14ac:dyDescent="0.3">
      <c r="B32" s="19"/>
      <c r="C32" s="20"/>
      <c r="D32" s="27"/>
      <c r="E32" s="32" t="s">
        <v>44</v>
      </c>
    </row>
    <row r="33" spans="2:16" x14ac:dyDescent="0.3">
      <c r="B33" s="311" t="s">
        <v>40</v>
      </c>
      <c r="C33" s="361"/>
      <c r="D33" s="29"/>
      <c r="E33" s="28" t="str">
        <f>C11</f>
        <v xml:space="preserve">E 13 </v>
      </c>
      <c r="I33" s="191"/>
      <c r="J33" s="17"/>
      <c r="K33" s="142"/>
      <c r="L33" s="17"/>
      <c r="M33" s="191"/>
      <c r="N33" s="191"/>
      <c r="O33" s="17"/>
      <c r="P33" s="142"/>
    </row>
    <row r="34" spans="2:16" x14ac:dyDescent="0.3">
      <c r="B34" s="19"/>
      <c r="C34" s="20"/>
      <c r="D34" s="28"/>
      <c r="E34" s="28" t="str">
        <f>D11</f>
        <v>Stufe 2</v>
      </c>
      <c r="I34" s="17"/>
      <c r="J34" s="142"/>
      <c r="K34" s="142"/>
      <c r="L34" s="17"/>
      <c r="M34" s="17"/>
      <c r="N34" s="17"/>
      <c r="O34" s="142"/>
      <c r="P34" s="142"/>
    </row>
    <row r="35" spans="2:16" ht="15" thickBot="1" x14ac:dyDescent="0.35">
      <c r="B35" s="25"/>
      <c r="C35" s="26"/>
      <c r="D35" s="47" t="s">
        <v>65</v>
      </c>
      <c r="E35" s="47" t="s">
        <v>66</v>
      </c>
      <c r="I35" s="17"/>
      <c r="J35" s="142"/>
      <c r="K35" s="142"/>
      <c r="L35" s="17"/>
      <c r="M35" s="17"/>
      <c r="N35" s="17"/>
      <c r="O35" s="142"/>
      <c r="P35" s="142"/>
    </row>
    <row r="36" spans="2:16" x14ac:dyDescent="0.3">
      <c r="B36" s="44" t="s">
        <v>41</v>
      </c>
      <c r="C36" s="45"/>
      <c r="D36" s="46"/>
      <c r="E36" s="30">
        <f>INDEX('Quelle '!A6:G26,MATCH(C11,'Quelle '!A6:A26,0),MATCH(D11,'Quelle '!A6:G6,0))*D7</f>
        <v>4385.28</v>
      </c>
      <c r="I36" s="143"/>
      <c r="J36" s="143"/>
      <c r="K36" s="137"/>
      <c r="L36" s="17"/>
      <c r="M36" s="143"/>
      <c r="N36" s="143"/>
      <c r="O36" s="143"/>
      <c r="P36" s="137"/>
    </row>
    <row r="37" spans="2:16" x14ac:dyDescent="0.3">
      <c r="B37" s="33" t="s">
        <v>57</v>
      </c>
      <c r="C37" s="33"/>
      <c r="D37" s="36">
        <f>D61</f>
        <v>0.22794999999999999</v>
      </c>
      <c r="E37" s="34">
        <f>E61</f>
        <v>999.62457599999993</v>
      </c>
      <c r="I37" s="17"/>
      <c r="J37" s="140"/>
      <c r="K37" s="118"/>
      <c r="L37" s="17"/>
      <c r="M37" s="17"/>
      <c r="N37" s="17"/>
      <c r="O37" s="140"/>
      <c r="P37" s="118"/>
    </row>
    <row r="38" spans="2:16" x14ac:dyDescent="0.3">
      <c r="B38" s="33" t="s">
        <v>42</v>
      </c>
      <c r="C38" s="33"/>
      <c r="D38" s="36">
        <v>6.4500000000000002E-2</v>
      </c>
      <c r="E38" s="34">
        <f>D38*E36</f>
        <v>282.85055999999997</v>
      </c>
      <c r="I38" s="17"/>
      <c r="J38" s="140"/>
      <c r="K38" s="118"/>
      <c r="L38" s="17"/>
      <c r="M38" s="17"/>
      <c r="N38" s="17"/>
      <c r="O38" s="140"/>
      <c r="P38" s="118"/>
    </row>
    <row r="39" spans="2:16" x14ac:dyDescent="0.3">
      <c r="B39" s="33" t="s">
        <v>58</v>
      </c>
      <c r="C39" s="33"/>
      <c r="D39" s="33"/>
      <c r="E39" s="34">
        <v>6.65</v>
      </c>
      <c r="I39" s="17"/>
      <c r="J39" s="17"/>
      <c r="K39" s="118"/>
      <c r="L39" s="17"/>
      <c r="M39" s="17"/>
      <c r="N39" s="17"/>
      <c r="O39" s="17"/>
      <c r="P39" s="118"/>
    </row>
    <row r="40" spans="2:16" s="2" customFormat="1" x14ac:dyDescent="0.3">
      <c r="B40" s="37" t="s">
        <v>43</v>
      </c>
      <c r="C40" s="37"/>
      <c r="D40" s="37"/>
      <c r="E40" s="119">
        <v>21.05</v>
      </c>
      <c r="I40" s="17"/>
      <c r="J40" s="17"/>
      <c r="K40" s="118"/>
      <c r="L40" s="17"/>
      <c r="M40" s="17"/>
      <c r="N40" s="17"/>
      <c r="O40" s="17"/>
      <c r="P40" s="118"/>
    </row>
    <row r="41" spans="2:16" s="2" customFormat="1" x14ac:dyDescent="0.3">
      <c r="B41" s="37" t="s">
        <v>59</v>
      </c>
      <c r="C41" s="37"/>
      <c r="D41" s="37"/>
      <c r="E41" s="120">
        <f>SUM(E36:E40)</f>
        <v>5695.4551359999996</v>
      </c>
      <c r="I41" s="17"/>
      <c r="J41" s="17"/>
      <c r="K41" s="137"/>
      <c r="L41" s="17"/>
      <c r="M41" s="17"/>
      <c r="N41" s="17"/>
      <c r="O41" s="17"/>
      <c r="P41" s="137"/>
    </row>
    <row r="42" spans="2:16" ht="15" thickBot="1" x14ac:dyDescent="0.35">
      <c r="B42" s="41" t="s">
        <v>64</v>
      </c>
      <c r="C42" s="41"/>
      <c r="D42" s="218">
        <f>VLOOKUP(C11,'Quelle '!A5:H26,8,0)</f>
        <v>0.46471000000000001</v>
      </c>
      <c r="E42" s="240">
        <f>E36*D42</f>
        <v>2037.8834687999999</v>
      </c>
      <c r="I42" s="17"/>
      <c r="J42" s="144"/>
      <c r="K42" s="118"/>
      <c r="L42" s="17"/>
      <c r="M42" s="17"/>
      <c r="N42" s="17"/>
      <c r="O42" s="144"/>
      <c r="P42" s="118"/>
    </row>
    <row r="43" spans="2:16" ht="15" thickBot="1" x14ac:dyDescent="0.35">
      <c r="B43" s="362" t="s">
        <v>71</v>
      </c>
      <c r="C43" s="363"/>
      <c r="D43" s="364"/>
      <c r="E43" s="31">
        <f>E51+E52</f>
        <v>43.025573689848827</v>
      </c>
      <c r="I43" s="189"/>
      <c r="J43" s="189"/>
      <c r="K43" s="118"/>
      <c r="L43" s="17"/>
      <c r="M43" s="360"/>
      <c r="N43" s="357"/>
      <c r="O43" s="357"/>
      <c r="P43" s="118"/>
    </row>
    <row r="44" spans="2:16" ht="15" thickBot="1" x14ac:dyDescent="0.35">
      <c r="B44" s="322" t="s">
        <v>60</v>
      </c>
      <c r="C44" s="358"/>
      <c r="D44" s="359"/>
      <c r="E44" s="114">
        <f>E41+(E42/12)</f>
        <v>5865.2787583999998</v>
      </c>
      <c r="I44" s="189"/>
      <c r="J44" s="189"/>
      <c r="K44" s="55"/>
      <c r="L44" s="17"/>
      <c r="M44" s="360"/>
      <c r="N44" s="357"/>
      <c r="O44" s="357"/>
      <c r="P44" s="55"/>
    </row>
    <row r="45" spans="2:16" ht="15" thickBot="1" x14ac:dyDescent="0.35">
      <c r="B45" s="322" t="s">
        <v>61</v>
      </c>
      <c r="C45" s="358"/>
      <c r="D45" s="359"/>
      <c r="E45" s="115">
        <f>(E41*12)+E42</f>
        <v>70383.345100799997</v>
      </c>
      <c r="I45" s="189"/>
      <c r="J45" s="189"/>
      <c r="K45" s="55"/>
      <c r="L45" s="17"/>
      <c r="M45" s="360"/>
      <c r="N45" s="357"/>
      <c r="O45" s="357"/>
      <c r="P45" s="55"/>
    </row>
    <row r="46" spans="2:16" x14ac:dyDescent="0.3">
      <c r="B46" s="307"/>
      <c r="C46" s="308"/>
      <c r="D46" s="308"/>
      <c r="E46" s="309"/>
      <c r="H46" s="357"/>
      <c r="I46" s="357"/>
      <c r="J46" s="357"/>
      <c r="K46" s="357"/>
      <c r="L46" s="17"/>
      <c r="M46" s="357"/>
      <c r="N46" s="357"/>
      <c r="O46" s="357"/>
      <c r="P46" s="357"/>
    </row>
    <row r="47" spans="2:16" x14ac:dyDescent="0.3">
      <c r="B47" s="40" t="s">
        <v>62</v>
      </c>
      <c r="C47" s="40"/>
      <c r="D47" s="40"/>
      <c r="E47" s="239">
        <f>(E36*12)+E36*D42</f>
        <v>54661.243468799999</v>
      </c>
      <c r="F47" s="136"/>
      <c r="G47" s="136"/>
      <c r="H47" s="17"/>
      <c r="I47" s="17"/>
      <c r="J47" s="17"/>
      <c r="K47" s="118"/>
      <c r="L47" s="17"/>
      <c r="M47" s="17"/>
      <c r="N47" s="17"/>
      <c r="O47" s="17"/>
      <c r="P47" s="118"/>
    </row>
    <row r="48" spans="2:16" x14ac:dyDescent="0.3">
      <c r="B48" s="33" t="s">
        <v>63</v>
      </c>
      <c r="C48" s="33"/>
      <c r="D48" s="33"/>
      <c r="E48" s="119">
        <f>(SUM(E37:E40)*12)+(SUM(E37:E40)*D42)</f>
        <v>16330.953119450562</v>
      </c>
      <c r="G48" s="136"/>
      <c r="H48" s="17"/>
      <c r="I48" s="17"/>
      <c r="J48" s="17"/>
      <c r="K48" s="118"/>
      <c r="L48" s="17"/>
      <c r="M48" s="17"/>
      <c r="N48" s="17"/>
      <c r="O48" s="17"/>
      <c r="P48" s="118"/>
    </row>
    <row r="49" spans="2:16" x14ac:dyDescent="0.3">
      <c r="B49" s="33" t="s">
        <v>67</v>
      </c>
      <c r="C49" s="33"/>
      <c r="D49" s="33"/>
      <c r="E49" s="34">
        <f>E47/12</f>
        <v>4555.1036223999999</v>
      </c>
      <c r="H49" s="17"/>
      <c r="I49" s="17"/>
      <c r="J49" s="17"/>
      <c r="K49" s="118"/>
      <c r="L49" s="17"/>
      <c r="M49" s="17"/>
      <c r="N49" s="17"/>
      <c r="O49" s="17"/>
      <c r="P49" s="118"/>
    </row>
    <row r="50" spans="2:16" x14ac:dyDescent="0.3">
      <c r="B50" s="33" t="s">
        <v>68</v>
      </c>
      <c r="C50" s="33"/>
      <c r="D50" s="33"/>
      <c r="E50" s="34">
        <f>E48/12</f>
        <v>1360.9127599542135</v>
      </c>
      <c r="H50" s="17"/>
      <c r="I50" s="17"/>
      <c r="J50" s="17"/>
      <c r="K50" s="118"/>
      <c r="L50" s="17"/>
      <c r="M50" s="17"/>
      <c r="N50" s="17"/>
      <c r="O50" s="17"/>
      <c r="P50" s="118"/>
    </row>
    <row r="51" spans="2:16" x14ac:dyDescent="0.3">
      <c r="B51" s="33" t="s">
        <v>69</v>
      </c>
      <c r="C51" s="33"/>
      <c r="D51" s="33"/>
      <c r="E51" s="34">
        <f>E47/('Quelle '!R6*D7)</f>
        <v>33.128026344727274</v>
      </c>
      <c r="H51" s="17"/>
      <c r="I51" s="17"/>
      <c r="J51" s="17"/>
      <c r="K51" s="118"/>
      <c r="L51" s="17"/>
      <c r="M51" s="17"/>
      <c r="N51" s="17"/>
      <c r="O51" s="17"/>
      <c r="P51" s="118"/>
    </row>
    <row r="52" spans="2:16" x14ac:dyDescent="0.3">
      <c r="B52" s="33" t="s">
        <v>70</v>
      </c>
      <c r="C52" s="33"/>
      <c r="D52" s="33"/>
      <c r="E52" s="34">
        <f>E48/('Quelle '!R6*D7)</f>
        <v>9.8975473451215521</v>
      </c>
      <c r="H52" s="17"/>
      <c r="I52" s="17"/>
      <c r="J52" s="17"/>
      <c r="K52" s="118"/>
      <c r="L52" s="17"/>
      <c r="M52" s="17"/>
      <c r="N52" s="17"/>
      <c r="O52" s="17"/>
      <c r="P52" s="118"/>
    </row>
    <row r="53" spans="2:16" x14ac:dyDescent="0.3">
      <c r="B53" s="310"/>
      <c r="C53" s="301"/>
      <c r="D53" s="301"/>
      <c r="E53" s="302"/>
      <c r="H53" s="357"/>
      <c r="I53" s="357"/>
      <c r="J53" s="357"/>
      <c r="K53" s="357"/>
      <c r="L53" s="17"/>
      <c r="M53" s="357"/>
      <c r="N53" s="357"/>
      <c r="O53" s="357"/>
      <c r="P53" s="357"/>
    </row>
    <row r="54" spans="2:16" x14ac:dyDescent="0.3">
      <c r="B54" s="35" t="s">
        <v>49</v>
      </c>
      <c r="C54" s="33"/>
      <c r="D54" s="33"/>
      <c r="E54" s="33"/>
      <c r="H54" s="141"/>
      <c r="I54" s="17"/>
      <c r="J54" s="17"/>
      <c r="K54" s="17"/>
      <c r="L54" s="17"/>
      <c r="M54" s="141"/>
      <c r="N54" s="17"/>
      <c r="O54" s="17"/>
      <c r="P54" s="17"/>
    </row>
    <row r="55" spans="2:16" x14ac:dyDescent="0.3">
      <c r="B55" s="33" t="s">
        <v>50</v>
      </c>
      <c r="C55" s="33"/>
      <c r="D55" s="36">
        <f>'Quelle '!S21</f>
        <v>9.2999999999999999E-2</v>
      </c>
      <c r="E55" s="34">
        <f>D55*E36</f>
        <v>407.83103999999997</v>
      </c>
      <c r="H55" s="17"/>
      <c r="I55" s="17"/>
      <c r="J55" s="140"/>
      <c r="K55" s="118"/>
      <c r="L55" s="17"/>
      <c r="M55" s="17"/>
      <c r="N55" s="17"/>
      <c r="O55" s="140"/>
      <c r="P55" s="118"/>
    </row>
    <row r="56" spans="2:16" x14ac:dyDescent="0.3">
      <c r="B56" s="33" t="s">
        <v>51</v>
      </c>
      <c r="C56" s="33"/>
      <c r="D56" s="36">
        <f>'Quelle '!S22</f>
        <v>1.2E-2</v>
      </c>
      <c r="E56" s="34">
        <f>D56*E36</f>
        <v>52.623359999999998</v>
      </c>
      <c r="H56" s="17"/>
      <c r="I56" s="17"/>
      <c r="J56" s="140"/>
      <c r="K56" s="118"/>
      <c r="L56" s="17"/>
      <c r="M56" s="17"/>
      <c r="N56" s="17"/>
      <c r="O56" s="140"/>
      <c r="P56" s="118"/>
    </row>
    <row r="57" spans="2:16" x14ac:dyDescent="0.3">
      <c r="B57" s="33" t="s">
        <v>52</v>
      </c>
      <c r="C57" s="33"/>
      <c r="D57" s="36">
        <f>'Quelle '!S23</f>
        <v>7.9000000000000001E-2</v>
      </c>
      <c r="E57" s="34">
        <f>D57*E36</f>
        <v>346.43711999999999</v>
      </c>
      <c r="H57" s="17"/>
      <c r="I57" s="17"/>
      <c r="J57" s="140"/>
      <c r="K57" s="118"/>
      <c r="L57" s="17"/>
      <c r="M57" s="17"/>
      <c r="N57" s="17"/>
      <c r="O57" s="140"/>
      <c r="P57" s="118"/>
    </row>
    <row r="58" spans="2:16" x14ac:dyDescent="0.3">
      <c r="B58" s="33" t="s">
        <v>53</v>
      </c>
      <c r="C58" s="33"/>
      <c r="D58" s="36">
        <f>'Quelle '!S24</f>
        <v>1.525E-2</v>
      </c>
      <c r="E58" s="34">
        <f>D58*E36</f>
        <v>66.875519999999995</v>
      </c>
      <c r="H58" s="17"/>
      <c r="I58" s="17"/>
      <c r="J58" s="140"/>
      <c r="K58" s="118"/>
      <c r="L58" s="17"/>
      <c r="M58" s="17"/>
      <c r="N58" s="17"/>
      <c r="O58" s="140"/>
      <c r="P58" s="118"/>
    </row>
    <row r="59" spans="2:16" s="2" customFormat="1" x14ac:dyDescent="0.3">
      <c r="B59" s="37" t="s">
        <v>54</v>
      </c>
      <c r="C59" s="37"/>
      <c r="D59" s="121">
        <f>'Quelle '!S25</f>
        <v>2.75E-2</v>
      </c>
      <c r="E59" s="119">
        <f>D59*E36</f>
        <v>120.59519999999999</v>
      </c>
      <c r="H59" s="17"/>
      <c r="I59" s="17"/>
      <c r="J59" s="140"/>
      <c r="K59" s="118"/>
      <c r="L59" s="17"/>
      <c r="M59" s="17"/>
      <c r="N59" s="17"/>
      <c r="O59" s="140"/>
      <c r="P59" s="118"/>
    </row>
    <row r="60" spans="2:16" x14ac:dyDescent="0.3">
      <c r="B60" s="37" t="s">
        <v>55</v>
      </c>
      <c r="C60" s="33"/>
      <c r="D60" s="36">
        <f>'Quelle '!S26</f>
        <v>1.1999999999999999E-3</v>
      </c>
      <c r="E60" s="34">
        <f>D60*E36</f>
        <v>5.2623359999999995</v>
      </c>
      <c r="H60" s="17"/>
      <c r="I60" s="17"/>
      <c r="J60" s="140"/>
      <c r="K60" s="118"/>
      <c r="L60" s="17"/>
      <c r="M60" s="17"/>
      <c r="N60" s="17"/>
      <c r="O60" s="140"/>
      <c r="P60" s="118"/>
    </row>
    <row r="61" spans="2:16" x14ac:dyDescent="0.3">
      <c r="B61" s="38" t="s">
        <v>56</v>
      </c>
      <c r="C61" s="33"/>
      <c r="D61" s="36">
        <f>SUM(D55:D60)</f>
        <v>0.22794999999999999</v>
      </c>
      <c r="E61" s="39">
        <f>D61*E36</f>
        <v>999.62457599999993</v>
      </c>
      <c r="H61" s="141"/>
      <c r="I61" s="17"/>
      <c r="J61" s="140"/>
      <c r="K61" s="55"/>
      <c r="L61" s="17"/>
      <c r="M61" s="141"/>
      <c r="N61" s="17"/>
      <c r="O61" s="140"/>
      <c r="P61" s="55"/>
    </row>
    <row r="62" spans="2:16" x14ac:dyDescent="0.3">
      <c r="H62" s="17"/>
      <c r="I62" s="17"/>
      <c r="J62" s="17"/>
      <c r="K62" s="17"/>
      <c r="L62" s="17"/>
      <c r="M62" s="17"/>
      <c r="N62" s="17"/>
      <c r="O62" s="17"/>
      <c r="P62" s="17"/>
    </row>
    <row r="64" spans="2:16" x14ac:dyDescent="0.3">
      <c r="B64" t="s">
        <v>45</v>
      </c>
    </row>
    <row r="65" spans="2:2" x14ac:dyDescent="0.3">
      <c r="B65" t="s">
        <v>46</v>
      </c>
    </row>
    <row r="66" spans="2:2" x14ac:dyDescent="0.3">
      <c r="B66" t="s">
        <v>47</v>
      </c>
    </row>
    <row r="67" spans="2:2" x14ac:dyDescent="0.3">
      <c r="B67" t="s">
        <v>48</v>
      </c>
    </row>
    <row r="68" spans="2:2" x14ac:dyDescent="0.3">
      <c r="B68" t="s">
        <v>189</v>
      </c>
    </row>
  </sheetData>
  <mergeCells count="15">
    <mergeCell ref="A13:F13"/>
    <mergeCell ref="B53:E53"/>
    <mergeCell ref="H53:K53"/>
    <mergeCell ref="M53:P53"/>
    <mergeCell ref="B45:D45"/>
    <mergeCell ref="M45:O45"/>
    <mergeCell ref="B46:E46"/>
    <mergeCell ref="H46:K46"/>
    <mergeCell ref="M46:P46"/>
    <mergeCell ref="M43:O43"/>
    <mergeCell ref="B44:D44"/>
    <mergeCell ref="M44:O44"/>
    <mergeCell ref="B33:C33"/>
    <mergeCell ref="B43:D43"/>
    <mergeCell ref="H16:J30"/>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'Quelle '!#REF!</xm:f>
          </x14:formula1>
          <xm:sqref>J11</xm:sqref>
        </x14:dataValidation>
        <x14:dataValidation type="list" allowBlank="1" showInputMessage="1" showErrorMessage="1">
          <x14:formula1>
            <xm:f>'Quelle '!$A$8:$A$26</xm:f>
          </x14:formula1>
          <xm:sqref>M11</xm:sqref>
        </x14:dataValidation>
        <x14:dataValidation type="list" allowBlank="1" showInputMessage="1" showErrorMessage="1">
          <x14:formula1>
            <xm:f>'Quelle '!$B$6:$G$6</xm:f>
          </x14:formula1>
          <xm:sqref>O11</xm:sqref>
        </x14:dataValidation>
        <x14:dataValidation type="list" showInputMessage="1" showErrorMessage="1">
          <x14:formula1>
            <xm:f>'Quelle '!$A$8:$A$26</xm:f>
          </x14:formula1>
          <xm:sqref>C11</xm:sqref>
        </x14:dataValidation>
        <x14:dataValidation type="list" showInputMessage="1" showErrorMessage="1">
          <x14:formula1>
            <xm:f>'Quelle '!$B$6:$G$6</xm:f>
          </x14:formula1>
          <xm:sqref>D11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topLeftCell="A4" workbookViewId="0">
      <selection activeCell="E22" sqref="E22"/>
    </sheetView>
  </sheetViews>
  <sheetFormatPr baseColWidth="10" defaultRowHeight="14.4" x14ac:dyDescent="0.3"/>
  <cols>
    <col min="1" max="1" width="4.44140625" customWidth="1"/>
    <col min="3" max="3" width="34.6640625" customWidth="1"/>
    <col min="13" max="13" width="36" bestFit="1" customWidth="1"/>
  </cols>
  <sheetData>
    <row r="1" spans="2:17" ht="21" x14ac:dyDescent="0.4">
      <c r="B1" s="241" t="s">
        <v>192</v>
      </c>
      <c r="C1" s="3" t="s">
        <v>220</v>
      </c>
      <c r="F1" s="1"/>
    </row>
    <row r="2" spans="2:17" ht="21.6" thickBot="1" x14ac:dyDescent="0.45">
      <c r="B2" s="241"/>
      <c r="C2" s="3"/>
      <c r="F2" s="1"/>
    </row>
    <row r="3" spans="2:17" ht="21.6" thickBot="1" x14ac:dyDescent="0.45">
      <c r="C3" s="264" t="s">
        <v>113</v>
      </c>
      <c r="D3" s="265"/>
      <c r="E3" s="265"/>
      <c r="F3" s="265"/>
      <c r="G3" s="265"/>
      <c r="H3" s="265"/>
      <c r="I3" s="266"/>
    </row>
    <row r="4" spans="2:17" ht="15" thickBot="1" x14ac:dyDescent="0.35">
      <c r="C4" s="267" t="s">
        <v>151</v>
      </c>
      <c r="D4" s="268"/>
      <c r="E4" s="268"/>
      <c r="F4" s="268"/>
      <c r="G4" s="268"/>
      <c r="H4" s="268"/>
      <c r="I4" s="269"/>
    </row>
    <row r="6" spans="2:17" ht="28.8" x14ac:dyDescent="0.55000000000000004">
      <c r="C6" s="106" t="s">
        <v>106</v>
      </c>
      <c r="D6" s="199" t="s">
        <v>180</v>
      </c>
      <c r="M6" s="106" t="s">
        <v>107</v>
      </c>
      <c r="O6" s="198" t="s">
        <v>180</v>
      </c>
    </row>
    <row r="7" spans="2:17" ht="15" thickBot="1" x14ac:dyDescent="0.35"/>
    <row r="8" spans="2:17" ht="15" thickBot="1" x14ac:dyDescent="0.35">
      <c r="C8" s="1" t="s">
        <v>90</v>
      </c>
      <c r="D8" s="88">
        <v>15</v>
      </c>
      <c r="E8" t="s">
        <v>116</v>
      </c>
      <c r="M8" s="1" t="s">
        <v>90</v>
      </c>
      <c r="N8" s="88">
        <v>15</v>
      </c>
      <c r="O8" t="s">
        <v>117</v>
      </c>
    </row>
    <row r="10" spans="2:17" x14ac:dyDescent="0.3">
      <c r="C10" s="1" t="s">
        <v>91</v>
      </c>
      <c r="M10" s="1" t="s">
        <v>91</v>
      </c>
    </row>
    <row r="11" spans="2:17" x14ac:dyDescent="0.3">
      <c r="D11" s="35" t="s">
        <v>92</v>
      </c>
      <c r="E11" s="35" t="s">
        <v>93</v>
      </c>
      <c r="F11" s="35" t="s">
        <v>94</v>
      </c>
      <c r="G11" s="35" t="s">
        <v>95</v>
      </c>
      <c r="I11" s="373" t="s">
        <v>122</v>
      </c>
      <c r="J11" s="374"/>
      <c r="K11" s="374"/>
      <c r="N11" s="35" t="s">
        <v>92</v>
      </c>
      <c r="O11" s="35" t="s">
        <v>93</v>
      </c>
      <c r="P11" s="35" t="s">
        <v>94</v>
      </c>
      <c r="Q11" s="35" t="s">
        <v>95</v>
      </c>
    </row>
    <row r="12" spans="2:17" x14ac:dyDescent="0.3">
      <c r="C12" s="85" t="s">
        <v>96</v>
      </c>
      <c r="D12" s="33">
        <v>1</v>
      </c>
      <c r="E12" s="33">
        <f>D8</f>
        <v>15</v>
      </c>
      <c r="F12" s="90">
        <f>E12*'Quelle '!L38</f>
        <v>65.22</v>
      </c>
      <c r="G12" s="90">
        <f>F12*12</f>
        <v>782.64</v>
      </c>
      <c r="I12" s="374"/>
      <c r="J12" s="374"/>
      <c r="K12" s="374"/>
      <c r="M12" s="33" t="s">
        <v>96</v>
      </c>
      <c r="N12" s="33">
        <v>1</v>
      </c>
      <c r="O12" s="33">
        <f>N8</f>
        <v>15</v>
      </c>
      <c r="P12" s="33">
        <f>O12*'Quelle '!L38</f>
        <v>65.22</v>
      </c>
      <c r="Q12" s="33">
        <f>P12*12</f>
        <v>782.64</v>
      </c>
    </row>
    <row r="13" spans="2:17" x14ac:dyDescent="0.3">
      <c r="C13" s="86" t="s">
        <v>108</v>
      </c>
      <c r="D13" s="89">
        <f>IF(D8&gt;='Quelle '!$M$41,'Quelle '!$O$34,'Quelle '!$N$34)</f>
        <v>10.79</v>
      </c>
      <c r="E13" s="89">
        <f>D13*D8</f>
        <v>161.85</v>
      </c>
      <c r="F13" s="89">
        <f>'Quelle '!L38*E13</f>
        <v>703.72379999999998</v>
      </c>
      <c r="G13" s="89">
        <f>F13*12</f>
        <v>8444.6856000000007</v>
      </c>
      <c r="I13" s="374"/>
      <c r="J13" s="374"/>
      <c r="K13" s="374"/>
      <c r="M13" s="33" t="s">
        <v>108</v>
      </c>
      <c r="N13" s="89">
        <f>IF(N8&gt;='Quelle '!$M$42,'Quelle '!$M$34,'Quelle '!$L$34)</f>
        <v>12.59</v>
      </c>
      <c r="O13" s="89">
        <f>N13*N8</f>
        <v>188.85</v>
      </c>
      <c r="P13" s="89">
        <f>'Quelle '!L38*O13</f>
        <v>821.11979999999994</v>
      </c>
      <c r="Q13" s="89">
        <f>P13*12</f>
        <v>9853.4375999999993</v>
      </c>
    </row>
    <row r="14" spans="2:17" x14ac:dyDescent="0.3">
      <c r="C14" s="86" t="s">
        <v>109</v>
      </c>
      <c r="D14" s="375">
        <f>IF(D8&gt;='Quelle '!$M$41,'Quelle '!$O$35,'Quelle '!$N$35)</f>
        <v>9.9500000000000005E-2</v>
      </c>
      <c r="E14" s="375">
        <f>D14</f>
        <v>9.9500000000000005E-2</v>
      </c>
      <c r="F14" s="375">
        <f t="shared" ref="F14:G14" si="0">E14</f>
        <v>9.9500000000000005E-2</v>
      </c>
      <c r="G14" s="375">
        <f t="shared" si="0"/>
        <v>9.9500000000000005E-2</v>
      </c>
      <c r="I14" s="374"/>
      <c r="J14" s="374"/>
      <c r="K14" s="374"/>
      <c r="M14" s="33" t="s">
        <v>109</v>
      </c>
      <c r="N14" s="375">
        <f>IF(N8&gt;='Quelle '!$M$42,'Quelle '!$M$35,'Quelle '!$L$35)</f>
        <v>9.9500000000000005E-2</v>
      </c>
      <c r="O14" s="375">
        <f>N14</f>
        <v>9.9500000000000005E-2</v>
      </c>
      <c r="P14" s="375">
        <f t="shared" ref="P14:Q14" si="1">O14</f>
        <v>9.9500000000000005E-2</v>
      </c>
      <c r="Q14" s="375">
        <f t="shared" si="1"/>
        <v>9.9500000000000005E-2</v>
      </c>
    </row>
    <row r="15" spans="2:17" ht="15" thickBot="1" x14ac:dyDescent="0.35">
      <c r="C15" s="87" t="s">
        <v>110</v>
      </c>
      <c r="D15" s="91">
        <f>D13*D14</f>
        <v>1.0736049999999999</v>
      </c>
      <c r="E15" s="91">
        <f>E13*E14</f>
        <v>16.104075000000002</v>
      </c>
      <c r="F15" s="91">
        <f>F13*F14</f>
        <v>70.020518100000004</v>
      </c>
      <c r="G15" s="91">
        <f>G13*G14</f>
        <v>840.24621720000016</v>
      </c>
      <c r="M15" s="92" t="s">
        <v>110</v>
      </c>
      <c r="N15" s="93">
        <f>N13*N14</f>
        <v>1.252705</v>
      </c>
      <c r="O15" s="93">
        <f>O13*O14</f>
        <v>18.790575</v>
      </c>
      <c r="P15" s="93">
        <f>P13*P14</f>
        <v>81.701420099999993</v>
      </c>
      <c r="Q15" s="93">
        <f>Q13*Q14</f>
        <v>980.41704119999997</v>
      </c>
    </row>
    <row r="16" spans="2:17" ht="15" thickBot="1" x14ac:dyDescent="0.35">
      <c r="C16" s="95" t="s">
        <v>111</v>
      </c>
      <c r="D16" s="51">
        <f>D13+D15</f>
        <v>11.863605</v>
      </c>
      <c r="E16" s="51">
        <f>E13+E15</f>
        <v>177.95407499999999</v>
      </c>
      <c r="F16" s="51">
        <f>F13+F15</f>
        <v>773.74431809999999</v>
      </c>
      <c r="G16" s="96">
        <f>G13+G15</f>
        <v>9284.9318172000003</v>
      </c>
      <c r="M16" s="97" t="s">
        <v>111</v>
      </c>
      <c r="N16" s="51">
        <f>N13+N15</f>
        <v>13.842705</v>
      </c>
      <c r="O16" s="51">
        <f>O13+O15</f>
        <v>207.64057499999998</v>
      </c>
      <c r="P16" s="51">
        <f>P13+P15</f>
        <v>902.82122009999989</v>
      </c>
      <c r="Q16" s="96">
        <f>Q13+Q15</f>
        <v>10833.8546412</v>
      </c>
    </row>
    <row r="19" spans="3:13" ht="15" thickBot="1" x14ac:dyDescent="0.35">
      <c r="C19" t="s">
        <v>112</v>
      </c>
      <c r="M19" t="s">
        <v>112</v>
      </c>
    </row>
    <row r="20" spans="3:13" ht="58.2" thickBot="1" x14ac:dyDescent="0.35">
      <c r="C20" s="94" t="str">
        <f>IF(D8&gt;='Quelle '!$M$41,CONCATENATE("Achtung! Bei SHK ab ",'Quelle '!$M$41," Wochenstunden beträgt der Sozialabgabensatz ", 'Quelle '!$O$35*100, " %. KV und RV à insgesamt ",'Quelle '!$N$35 *100, " % muss Stud. selber aufwenden."),"Keine ")</f>
        <v>Achtung! Bei SHK ab 10 Wochenstunden beträgt der Sozialabgabensatz 9,95 %. KV und RV à insgesamt 28 % muss Stud. selber aufwenden.</v>
      </c>
      <c r="M20" s="94" t="str">
        <f>IF(N8&gt;='Quelle '!$M$42,CONCATENATE("Achtung! Bei WHK ab ",'Quelle '!$M$42," Wochenstunden beträgt der Sozialabgabensatz ", 'Quelle '!$M$35*100, " %. KV und RV à insgesamt ",'Quelle '!$L$35 *100, " % muss Stud. selber aufwenden."),"Keine ")</f>
        <v>Achtung! Bei WHK ab 8 Wochenstunden beträgt der Sozialabgabensatz 9,95 %. KV und RV à insgesamt 28 % muss Stud. selber aufwenden.</v>
      </c>
    </row>
  </sheetData>
  <mergeCells count="1">
    <mergeCell ref="I11:K14"/>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07"/>
  <sheetViews>
    <sheetView workbookViewId="0">
      <selection activeCell="P40" sqref="P40"/>
    </sheetView>
  </sheetViews>
  <sheetFormatPr baseColWidth="10" defaultRowHeight="14.4" x14ac:dyDescent="0.3"/>
  <cols>
    <col min="1" max="1" width="13.5546875" bestFit="1" customWidth="1"/>
    <col min="2" max="2" width="13.6640625" customWidth="1"/>
    <col min="6" max="6" width="13.44140625" bestFit="1" customWidth="1"/>
    <col min="8" max="8" width="20" customWidth="1"/>
    <col min="11" max="11" width="24.5546875" customWidth="1"/>
    <col min="12" max="12" width="16" customWidth="1"/>
    <col min="13" max="13" width="20.44140625" customWidth="1"/>
    <col min="14" max="14" width="18.109375" customWidth="1"/>
    <col min="15" max="15" width="17.5546875" customWidth="1"/>
    <col min="17" max="17" width="30" customWidth="1"/>
  </cols>
  <sheetData>
    <row r="2" spans="1:18" ht="21" x14ac:dyDescent="0.4">
      <c r="K2" s="273"/>
      <c r="L2" s="20"/>
      <c r="M2" s="20"/>
      <c r="N2" s="20"/>
      <c r="O2" s="20"/>
      <c r="Q2" s="110" t="s">
        <v>125</v>
      </c>
    </row>
    <row r="3" spans="1:18" s="17" customFormat="1" ht="21" x14ac:dyDescent="0.4">
      <c r="A3" s="3" t="s">
        <v>34</v>
      </c>
      <c r="B3" s="3" t="s">
        <v>35</v>
      </c>
      <c r="C3"/>
      <c r="D3"/>
      <c r="E3"/>
      <c r="F3"/>
      <c r="G3"/>
      <c r="H3"/>
    </row>
    <row r="4" spans="1:18" x14ac:dyDescent="0.3">
      <c r="A4" s="2"/>
      <c r="B4" s="2"/>
      <c r="C4" s="2"/>
      <c r="D4" s="2"/>
      <c r="E4" s="2"/>
      <c r="F4" s="2"/>
      <c r="G4" s="2"/>
      <c r="H4" s="2"/>
      <c r="K4" s="77"/>
      <c r="L4" s="274"/>
      <c r="M4" s="274"/>
      <c r="N4" s="274"/>
      <c r="O4" s="274"/>
      <c r="Q4" s="111" t="s">
        <v>126</v>
      </c>
      <c r="R4" s="33">
        <v>1650</v>
      </c>
    </row>
    <row r="5" spans="1:18" ht="28.8" x14ac:dyDescent="0.3">
      <c r="A5" s="10"/>
      <c r="B5" s="11" t="s">
        <v>0</v>
      </c>
      <c r="C5" s="276" t="s">
        <v>1</v>
      </c>
      <c r="D5" s="276"/>
      <c r="E5" s="10"/>
      <c r="F5" s="10"/>
      <c r="G5" s="10"/>
      <c r="H5" s="10"/>
      <c r="K5" s="77"/>
      <c r="L5" s="20"/>
      <c r="M5" s="20"/>
      <c r="N5" s="20"/>
      <c r="O5" s="20"/>
      <c r="Q5" s="112" t="s">
        <v>84</v>
      </c>
      <c r="R5" s="33">
        <v>1650</v>
      </c>
    </row>
    <row r="6" spans="1:18" x14ac:dyDescent="0.3">
      <c r="A6" s="10"/>
      <c r="B6" s="10" t="s">
        <v>2</v>
      </c>
      <c r="C6" s="10" t="s">
        <v>3</v>
      </c>
      <c r="D6" s="10" t="s">
        <v>4</v>
      </c>
      <c r="E6" s="10" t="s">
        <v>5</v>
      </c>
      <c r="F6" s="10" t="s">
        <v>6</v>
      </c>
      <c r="G6" s="10" t="s">
        <v>7</v>
      </c>
      <c r="H6" s="12" t="s">
        <v>8</v>
      </c>
      <c r="K6" s="77"/>
      <c r="L6" s="192"/>
      <c r="M6" s="192"/>
      <c r="N6" s="192"/>
      <c r="O6" s="192"/>
      <c r="Q6" s="111" t="s">
        <v>127</v>
      </c>
      <c r="R6" s="113">
        <v>1650</v>
      </c>
    </row>
    <row r="7" spans="1:18" ht="31.8" x14ac:dyDescent="0.3">
      <c r="A7" s="10" t="s">
        <v>9</v>
      </c>
      <c r="B7" s="13" t="s">
        <v>10</v>
      </c>
      <c r="C7" s="13" t="s">
        <v>11</v>
      </c>
      <c r="D7" s="13" t="s">
        <v>12</v>
      </c>
      <c r="E7" s="13" t="s">
        <v>13</v>
      </c>
      <c r="F7" s="13" t="s">
        <v>14</v>
      </c>
      <c r="G7" s="14"/>
      <c r="H7" s="158" t="s">
        <v>65</v>
      </c>
      <c r="K7" s="77"/>
      <c r="L7" s="20"/>
      <c r="M7" s="20"/>
      <c r="N7" s="20"/>
      <c r="O7" s="20"/>
      <c r="Q7" s="112" t="s">
        <v>128</v>
      </c>
      <c r="R7" s="33">
        <v>1720</v>
      </c>
    </row>
    <row r="8" spans="1:18" x14ac:dyDescent="0.3">
      <c r="A8" s="10" t="s">
        <v>15</v>
      </c>
      <c r="B8" s="15">
        <v>5955.87</v>
      </c>
      <c r="C8" s="15">
        <v>6610.8</v>
      </c>
      <c r="D8" s="15">
        <v>7232.37</v>
      </c>
      <c r="E8" s="15">
        <v>7640.03</v>
      </c>
      <c r="F8" s="15">
        <v>7740.31</v>
      </c>
      <c r="G8" s="15"/>
      <c r="H8" s="49">
        <v>0.32529000000000002</v>
      </c>
      <c r="K8" s="77"/>
      <c r="L8" s="78"/>
      <c r="M8" s="20"/>
      <c r="N8" s="20"/>
      <c r="O8" s="20"/>
      <c r="Q8" s="111" t="s">
        <v>129</v>
      </c>
      <c r="R8" s="33">
        <v>1650</v>
      </c>
    </row>
    <row r="9" spans="1:18" ht="28.8" x14ac:dyDescent="0.3">
      <c r="A9" s="10" t="s">
        <v>16</v>
      </c>
      <c r="B9" s="15">
        <v>4880.6499999999996</v>
      </c>
      <c r="C9" s="15">
        <v>5247.42</v>
      </c>
      <c r="D9" s="15">
        <v>5441.24</v>
      </c>
      <c r="E9" s="15">
        <v>6129.64</v>
      </c>
      <c r="F9" s="15">
        <v>6650.92</v>
      </c>
      <c r="G9" s="15">
        <v>6850.45</v>
      </c>
      <c r="H9" s="49">
        <v>0.32529000000000002</v>
      </c>
      <c r="K9" s="77"/>
      <c r="L9" s="78"/>
      <c r="M9" s="20"/>
      <c r="N9" s="20"/>
      <c r="O9" s="20"/>
      <c r="Q9" s="130" t="s">
        <v>139</v>
      </c>
      <c r="R9" s="37">
        <v>39.832999999999998</v>
      </c>
    </row>
    <row r="10" spans="1:18" x14ac:dyDescent="0.3">
      <c r="A10" s="10" t="s">
        <v>17</v>
      </c>
      <c r="B10" s="15">
        <v>4418.91</v>
      </c>
      <c r="C10" s="15">
        <v>4752.8500000000004</v>
      </c>
      <c r="D10" s="15">
        <v>5026.88</v>
      </c>
      <c r="E10" s="15">
        <v>5441.24</v>
      </c>
      <c r="F10" s="15">
        <v>6076.14</v>
      </c>
      <c r="G10" s="15">
        <v>6258.43</v>
      </c>
      <c r="H10" s="49">
        <v>0.32529000000000002</v>
      </c>
      <c r="K10" s="77"/>
      <c r="L10" s="78"/>
      <c r="M10" s="20"/>
      <c r="N10" s="20"/>
      <c r="O10" s="20"/>
      <c r="Q10" s="109"/>
    </row>
    <row r="11" spans="1:18" x14ac:dyDescent="0.3">
      <c r="A11" s="10" t="s">
        <v>18</v>
      </c>
      <c r="B11" s="15"/>
      <c r="C11" s="15">
        <v>4385.28</v>
      </c>
      <c r="D11" s="15">
        <v>4619.2</v>
      </c>
      <c r="E11" s="15">
        <v>5441.24</v>
      </c>
      <c r="F11" s="15">
        <v>6076.14</v>
      </c>
      <c r="G11" s="15">
        <v>6258.43</v>
      </c>
      <c r="H11" s="49">
        <v>0.46471000000000001</v>
      </c>
      <c r="K11" s="275"/>
      <c r="L11" s="274"/>
      <c r="M11" s="274"/>
      <c r="N11" s="274"/>
      <c r="O11" s="20"/>
    </row>
    <row r="12" spans="1:18" x14ac:dyDescent="0.3">
      <c r="A12" s="10" t="s">
        <v>19</v>
      </c>
      <c r="B12" s="15">
        <v>4074.3</v>
      </c>
      <c r="C12" s="15">
        <v>4385.28</v>
      </c>
      <c r="D12" s="15">
        <v>4619.2</v>
      </c>
      <c r="E12" s="15">
        <v>5073.66</v>
      </c>
      <c r="F12" s="15">
        <v>5701.88</v>
      </c>
      <c r="G12" s="15">
        <v>5872.94</v>
      </c>
      <c r="H12" s="49">
        <v>0.46471000000000001</v>
      </c>
      <c r="K12" s="77"/>
      <c r="L12" s="84"/>
      <c r="M12" s="20"/>
      <c r="N12" s="20"/>
      <c r="O12" s="20"/>
    </row>
    <row r="13" spans="1:18" x14ac:dyDescent="0.3">
      <c r="A13" s="10" t="s">
        <v>20</v>
      </c>
      <c r="B13" s="15">
        <v>3672.04</v>
      </c>
      <c r="C13" s="15">
        <v>3930.82</v>
      </c>
      <c r="D13" s="15">
        <v>4478.8500000000004</v>
      </c>
      <c r="E13" s="15">
        <v>4960.05</v>
      </c>
      <c r="F13" s="15">
        <v>5581.59</v>
      </c>
      <c r="G13" s="15">
        <v>5749.03</v>
      </c>
      <c r="H13" s="49">
        <v>0.46471000000000001</v>
      </c>
      <c r="K13" s="77"/>
      <c r="L13" s="84"/>
      <c r="M13" s="20"/>
      <c r="N13" s="20"/>
      <c r="O13" s="20"/>
    </row>
    <row r="14" spans="1:18" x14ac:dyDescent="0.3">
      <c r="A14" s="10" t="s">
        <v>21</v>
      </c>
      <c r="B14" s="15">
        <v>3553.15</v>
      </c>
      <c r="C14" s="15">
        <v>3792.2</v>
      </c>
      <c r="D14" s="15">
        <v>4064.48</v>
      </c>
      <c r="E14" s="15">
        <v>4478.8500000000004</v>
      </c>
      <c r="F14" s="15">
        <v>5080.3500000000004</v>
      </c>
      <c r="G14" s="15">
        <v>5232.76</v>
      </c>
      <c r="H14" s="49">
        <v>0.74353000000000002</v>
      </c>
      <c r="K14" s="77"/>
      <c r="L14" s="84"/>
      <c r="M14" s="20"/>
      <c r="N14" s="20"/>
    </row>
    <row r="15" spans="1:18" x14ac:dyDescent="0.3">
      <c r="A15" s="10" t="s">
        <v>22</v>
      </c>
      <c r="B15" s="15">
        <v>3427.65</v>
      </c>
      <c r="C15" s="15">
        <v>3662.23</v>
      </c>
      <c r="D15" s="15">
        <v>3930.82</v>
      </c>
      <c r="E15" s="15">
        <v>4204.82</v>
      </c>
      <c r="F15" s="15">
        <v>4726.1499999999996</v>
      </c>
      <c r="G15" s="15">
        <v>4867.9399999999996</v>
      </c>
      <c r="H15" s="49">
        <v>0.74353000000000002</v>
      </c>
    </row>
    <row r="16" spans="1:18" x14ac:dyDescent="0.3">
      <c r="A16" s="10" t="s">
        <v>23</v>
      </c>
      <c r="B16" s="15">
        <v>3051.16</v>
      </c>
      <c r="C16" s="15">
        <v>3277.32</v>
      </c>
      <c r="D16" s="15">
        <v>3424.65</v>
      </c>
      <c r="E16" s="15">
        <v>3831.78</v>
      </c>
      <c r="F16" s="15">
        <v>4178.1000000000004</v>
      </c>
      <c r="G16" s="15">
        <v>4303.46</v>
      </c>
      <c r="H16" s="49">
        <v>0.74353000000000002</v>
      </c>
    </row>
    <row r="17" spans="1:23" x14ac:dyDescent="0.3">
      <c r="A17" s="10" t="s">
        <v>24</v>
      </c>
      <c r="B17" s="15">
        <v>3051.16</v>
      </c>
      <c r="C17" s="15">
        <v>3277.32</v>
      </c>
      <c r="D17" s="15">
        <v>3326.44</v>
      </c>
      <c r="E17" s="15">
        <v>3424.65</v>
      </c>
      <c r="F17" s="15">
        <v>3831.78</v>
      </c>
      <c r="G17" s="15">
        <v>3945.15</v>
      </c>
      <c r="H17" s="49">
        <v>0.74353000000000002</v>
      </c>
    </row>
    <row r="18" spans="1:23" ht="23.4" x14ac:dyDescent="0.45">
      <c r="A18" s="10" t="s">
        <v>25</v>
      </c>
      <c r="B18" s="15">
        <v>2866.21</v>
      </c>
      <c r="C18" s="15">
        <v>3087.04</v>
      </c>
      <c r="D18" s="15">
        <v>3209.79</v>
      </c>
      <c r="E18" s="15">
        <v>3326.44</v>
      </c>
      <c r="F18" s="15">
        <v>3455.35</v>
      </c>
      <c r="G18" s="15">
        <v>3535.15</v>
      </c>
      <c r="H18" s="49">
        <v>0.88295000000000001</v>
      </c>
      <c r="K18" s="106" t="s">
        <v>160</v>
      </c>
      <c r="Q18" s="106" t="s">
        <v>49</v>
      </c>
    </row>
    <row r="19" spans="1:23" ht="15" thickBot="1" x14ac:dyDescent="0.35">
      <c r="A19" s="10" t="s">
        <v>26</v>
      </c>
      <c r="B19" s="15">
        <v>2696.84</v>
      </c>
      <c r="C19" s="15">
        <v>2912.5</v>
      </c>
      <c r="D19" s="15">
        <v>3074.75</v>
      </c>
      <c r="E19" s="15">
        <v>3197.52</v>
      </c>
      <c r="F19" s="15">
        <v>3295.75</v>
      </c>
      <c r="G19" s="15">
        <v>3381.67</v>
      </c>
      <c r="H19" s="49">
        <v>0.88295000000000001</v>
      </c>
      <c r="T19" s="20"/>
    </row>
    <row r="20" spans="1:23" ht="29.4" thickBot="1" x14ac:dyDescent="0.35">
      <c r="A20" s="10" t="s">
        <v>27</v>
      </c>
      <c r="B20" s="15">
        <v>2651.42</v>
      </c>
      <c r="C20" s="15">
        <v>2864.88</v>
      </c>
      <c r="D20" s="15">
        <v>2983.94</v>
      </c>
      <c r="E20" s="15">
        <v>3105.46</v>
      </c>
      <c r="F20" s="15">
        <v>3185.24</v>
      </c>
      <c r="G20" s="15">
        <v>3271.18</v>
      </c>
      <c r="H20" s="49">
        <v>0.88295000000000001</v>
      </c>
      <c r="K20" s="162" t="s">
        <v>76</v>
      </c>
      <c r="L20" s="162" t="s">
        <v>161</v>
      </c>
      <c r="M20" s="163" t="s">
        <v>75</v>
      </c>
      <c r="N20" s="163" t="s">
        <v>77</v>
      </c>
      <c r="Q20" s="68" t="s">
        <v>49</v>
      </c>
      <c r="R20" s="289"/>
      <c r="S20" s="289" t="s">
        <v>72</v>
      </c>
      <c r="T20" s="290"/>
      <c r="U20" s="290"/>
      <c r="V20" s="290"/>
      <c r="W20" s="291"/>
    </row>
    <row r="21" spans="1:23" ht="15" thickBot="1" x14ac:dyDescent="0.35">
      <c r="A21" s="10" t="s">
        <v>28</v>
      </c>
      <c r="B21" s="15">
        <v>2547.6</v>
      </c>
      <c r="C21" s="15">
        <v>2757.73</v>
      </c>
      <c r="D21" s="15">
        <v>2876.79</v>
      </c>
      <c r="E21" s="15">
        <v>2989.89</v>
      </c>
      <c r="F21" s="15">
        <v>3080.89</v>
      </c>
      <c r="G21" s="15">
        <v>3142.2890000000002</v>
      </c>
      <c r="H21" s="49">
        <v>0.88295000000000001</v>
      </c>
      <c r="K21" s="162">
        <v>1</v>
      </c>
      <c r="L21" s="162" t="s">
        <v>162</v>
      </c>
      <c r="M21" s="164">
        <v>9350</v>
      </c>
      <c r="N21" s="164">
        <v>68</v>
      </c>
      <c r="Q21" s="292" t="s">
        <v>50</v>
      </c>
      <c r="R21" s="33"/>
      <c r="S21" s="36">
        <v>9.2999999999999999E-2</v>
      </c>
      <c r="T21" s="178"/>
      <c r="U21" s="20"/>
      <c r="V21" s="20"/>
      <c r="W21" s="293"/>
    </row>
    <row r="22" spans="1:23" ht="15" thickBot="1" x14ac:dyDescent="0.35">
      <c r="A22" s="10" t="s">
        <v>29</v>
      </c>
      <c r="B22" s="15">
        <v>2432.59</v>
      </c>
      <c r="C22" s="15">
        <v>2644.64</v>
      </c>
      <c r="D22" s="15">
        <v>2793.45</v>
      </c>
      <c r="E22" s="15">
        <v>2876.79</v>
      </c>
      <c r="F22" s="15">
        <v>2960.79</v>
      </c>
      <c r="G22" s="15">
        <v>3013.7</v>
      </c>
      <c r="H22" s="49">
        <v>0.88295000000000001</v>
      </c>
      <c r="K22" s="162">
        <v>2</v>
      </c>
      <c r="L22" s="162" t="s">
        <v>163</v>
      </c>
      <c r="M22" s="164">
        <v>7012</v>
      </c>
      <c r="N22" s="164">
        <v>51</v>
      </c>
      <c r="Q22" s="292" t="s">
        <v>51</v>
      </c>
      <c r="R22" s="33"/>
      <c r="S22" s="36">
        <v>1.2E-2</v>
      </c>
      <c r="T22" s="178"/>
      <c r="U22" s="20"/>
      <c r="V22" s="20"/>
      <c r="W22" s="293"/>
    </row>
    <row r="23" spans="1:23" ht="15" thickBot="1" x14ac:dyDescent="0.35">
      <c r="A23" s="10" t="s">
        <v>30</v>
      </c>
      <c r="B23" s="15">
        <v>2401.5500000000002</v>
      </c>
      <c r="C23" s="15">
        <v>2608.91</v>
      </c>
      <c r="D23" s="15">
        <v>2668.44</v>
      </c>
      <c r="E23" s="15">
        <v>2763.68</v>
      </c>
      <c r="F23" s="15">
        <v>2841.07</v>
      </c>
      <c r="G23" s="15">
        <v>2906.55</v>
      </c>
      <c r="H23" s="49">
        <v>0.88295000000000001</v>
      </c>
      <c r="K23" s="162">
        <v>3</v>
      </c>
      <c r="L23" s="162" t="s">
        <v>164</v>
      </c>
      <c r="M23" s="164">
        <v>4950</v>
      </c>
      <c r="N23" s="164">
        <v>36</v>
      </c>
      <c r="Q23" s="292" t="s">
        <v>52</v>
      </c>
      <c r="R23" s="33"/>
      <c r="S23" s="36">
        <v>7.9000000000000001E-2</v>
      </c>
      <c r="T23" s="178" t="s">
        <v>214</v>
      </c>
      <c r="U23" s="20"/>
      <c r="V23" s="20"/>
      <c r="W23" s="293"/>
    </row>
    <row r="24" spans="1:23" ht="15" thickBot="1" x14ac:dyDescent="0.35">
      <c r="A24" s="10" t="s">
        <v>31</v>
      </c>
      <c r="B24" s="15">
        <v>2305.31</v>
      </c>
      <c r="C24" s="15">
        <v>2507.71</v>
      </c>
      <c r="D24" s="15">
        <v>2585.1</v>
      </c>
      <c r="E24" s="15">
        <v>2680.36</v>
      </c>
      <c r="F24" s="15">
        <v>2745.84</v>
      </c>
      <c r="G24" s="15">
        <v>2799.39</v>
      </c>
      <c r="H24" s="49">
        <v>0.88295000000000001</v>
      </c>
      <c r="K24" s="162">
        <v>4</v>
      </c>
      <c r="L24" s="162" t="s">
        <v>81</v>
      </c>
      <c r="M24" s="164">
        <v>3850</v>
      </c>
      <c r="N24" s="164">
        <v>28</v>
      </c>
      <c r="Q24" s="292" t="s">
        <v>53</v>
      </c>
      <c r="R24" s="33"/>
      <c r="S24" s="36">
        <v>1.525E-2</v>
      </c>
      <c r="T24" s="178"/>
      <c r="U24" s="20"/>
      <c r="V24" s="20"/>
      <c r="W24" s="293"/>
    </row>
    <row r="25" spans="1:23" ht="15" thickBot="1" x14ac:dyDescent="0.35">
      <c r="A25" s="10" t="s">
        <v>32</v>
      </c>
      <c r="B25" s="15">
        <v>2240.12</v>
      </c>
      <c r="C25" s="15">
        <v>2436.27</v>
      </c>
      <c r="D25" s="15">
        <v>2495.81</v>
      </c>
      <c r="E25" s="15">
        <v>2555.33</v>
      </c>
      <c r="F25" s="15">
        <v>2692.24</v>
      </c>
      <c r="G25" s="15">
        <v>2835.13</v>
      </c>
      <c r="H25" s="49">
        <v>0.88295000000000001</v>
      </c>
      <c r="K25" s="165" t="s">
        <v>165</v>
      </c>
      <c r="L25" s="166" t="s">
        <v>82</v>
      </c>
      <c r="M25" s="164">
        <v>3850</v>
      </c>
      <c r="N25" s="164">
        <v>28</v>
      </c>
      <c r="Q25" s="292" t="s">
        <v>187</v>
      </c>
      <c r="R25" s="33"/>
      <c r="S25" s="36">
        <v>2.75E-2</v>
      </c>
      <c r="T25" s="178" t="s">
        <v>218</v>
      </c>
      <c r="U25" s="20"/>
      <c r="V25" s="20"/>
      <c r="W25" s="293"/>
    </row>
    <row r="26" spans="1:23" ht="15" thickBot="1" x14ac:dyDescent="0.35">
      <c r="A26" s="10" t="s">
        <v>33</v>
      </c>
      <c r="B26" s="15"/>
      <c r="C26" s="15">
        <v>2037.44</v>
      </c>
      <c r="D26" s="15">
        <v>2067.1799999999998</v>
      </c>
      <c r="E26" s="15">
        <v>2102.9</v>
      </c>
      <c r="F26" s="15">
        <v>2138.63</v>
      </c>
      <c r="G26" s="15">
        <v>2227.92</v>
      </c>
      <c r="H26" s="49">
        <v>0.88295000000000001</v>
      </c>
      <c r="K26" s="166">
        <v>5</v>
      </c>
      <c r="L26" s="167" t="s">
        <v>159</v>
      </c>
      <c r="M26" s="168">
        <v>2062</v>
      </c>
      <c r="N26" s="168">
        <v>15</v>
      </c>
      <c r="Q26" s="294" t="s">
        <v>55</v>
      </c>
      <c r="R26" s="33"/>
      <c r="S26" s="36">
        <v>1.1999999999999999E-3</v>
      </c>
      <c r="T26" s="178"/>
      <c r="U26" s="20"/>
      <c r="V26" s="20"/>
      <c r="W26" s="293"/>
    </row>
    <row r="27" spans="1:23" x14ac:dyDescent="0.3">
      <c r="Q27" s="294" t="s">
        <v>190</v>
      </c>
      <c r="R27" s="33"/>
      <c r="S27" s="36">
        <f>SUM(S21:S26)</f>
        <v>0.22794999999999999</v>
      </c>
      <c r="T27" s="118"/>
      <c r="U27" s="20"/>
      <c r="V27" s="20"/>
      <c r="W27" s="293"/>
    </row>
    <row r="28" spans="1:23" x14ac:dyDescent="0.3">
      <c r="Q28" s="295"/>
      <c r="R28" s="20"/>
      <c r="S28" s="192"/>
      <c r="T28" s="20"/>
      <c r="U28" s="20"/>
      <c r="V28" s="20"/>
      <c r="W28" s="293"/>
    </row>
    <row r="29" spans="1:23" ht="15" thickBot="1" x14ac:dyDescent="0.35">
      <c r="Q29" s="296" t="s">
        <v>219</v>
      </c>
      <c r="R29" s="26"/>
      <c r="S29" s="26"/>
      <c r="T29" s="26"/>
      <c r="U29" s="26"/>
      <c r="V29" s="26"/>
      <c r="W29" s="297"/>
    </row>
    <row r="30" spans="1:23" s="2" customFormat="1" ht="21" x14ac:dyDescent="0.4">
      <c r="A30" s="3" t="s">
        <v>168</v>
      </c>
      <c r="B30"/>
      <c r="C30"/>
      <c r="D30" t="s">
        <v>169</v>
      </c>
      <c r="E30"/>
      <c r="F30"/>
      <c r="G30"/>
      <c r="H30">
        <v>1.03</v>
      </c>
    </row>
    <row r="31" spans="1:23" ht="31.2" x14ac:dyDescent="0.6">
      <c r="K31" s="3" t="s">
        <v>87</v>
      </c>
      <c r="L31" s="200" t="s">
        <v>181</v>
      </c>
    </row>
    <row r="32" spans="1:23" ht="29.4" thickBot="1" x14ac:dyDescent="0.35">
      <c r="A32" s="4"/>
      <c r="B32" s="5" t="s">
        <v>0</v>
      </c>
      <c r="C32" s="287" t="s">
        <v>1</v>
      </c>
      <c r="D32" s="287"/>
      <c r="E32" s="4"/>
      <c r="F32" s="4"/>
      <c r="G32" s="4"/>
      <c r="H32" s="4"/>
      <c r="K32" s="17"/>
      <c r="L32" s="17"/>
      <c r="M32" s="17"/>
      <c r="N32" s="17"/>
      <c r="O32" s="17"/>
    </row>
    <row r="33" spans="1:15" ht="28.8" x14ac:dyDescent="0.3">
      <c r="A33" s="4"/>
      <c r="B33" s="4" t="s">
        <v>2</v>
      </c>
      <c r="C33" s="4" t="s">
        <v>3</v>
      </c>
      <c r="D33" s="4" t="s">
        <v>4</v>
      </c>
      <c r="E33" s="4" t="s">
        <v>5</v>
      </c>
      <c r="F33" s="4" t="s">
        <v>6</v>
      </c>
      <c r="G33" s="4" t="s">
        <v>7</v>
      </c>
      <c r="H33" s="6" t="s">
        <v>8</v>
      </c>
      <c r="K33" s="68" t="s">
        <v>97</v>
      </c>
      <c r="L33" s="69" t="str">
        <f>CONCATENATE("WHK (&lt;  ",M42," h/Woche)")</f>
        <v>WHK (&lt;  8 h/Woche)</v>
      </c>
      <c r="M33" s="69" t="str">
        <f>CONCATENATE("WHK (&gt;=  ",M42," h/Woche)")</f>
        <v>WHK (&gt;=  8 h/Woche)</v>
      </c>
      <c r="N33" s="69" t="str">
        <f>CONCATENATE("SHK (&lt;  ",M41," h/Woche)")</f>
        <v>SHK (&lt;  10 h/Woche)</v>
      </c>
      <c r="O33" s="69" t="str">
        <f>CONCATENATE("SHK (&gt;=  ",M41," h/Woche)")</f>
        <v>SHK (&gt;=  10 h/Woche)</v>
      </c>
    </row>
    <row r="34" spans="1:15" ht="31.8" x14ac:dyDescent="0.3">
      <c r="A34" s="4" t="s">
        <v>9</v>
      </c>
      <c r="B34" s="7" t="s">
        <v>10</v>
      </c>
      <c r="C34" s="7" t="s">
        <v>11</v>
      </c>
      <c r="D34" s="7" t="s">
        <v>12</v>
      </c>
      <c r="E34" s="7" t="s">
        <v>13</v>
      </c>
      <c r="F34" s="7" t="s">
        <v>14</v>
      </c>
      <c r="G34" s="8"/>
      <c r="H34" s="157" t="s">
        <v>65</v>
      </c>
      <c r="K34" s="71" t="s">
        <v>98</v>
      </c>
      <c r="L34" s="33">
        <v>12.59</v>
      </c>
      <c r="M34" s="33">
        <v>12.59</v>
      </c>
      <c r="N34" s="33">
        <v>10.79</v>
      </c>
      <c r="O34" s="33">
        <v>10.79</v>
      </c>
    </row>
    <row r="35" spans="1:15" ht="15" thickBot="1" x14ac:dyDescent="0.35">
      <c r="A35" s="4" t="s">
        <v>15</v>
      </c>
      <c r="B35" s="9">
        <f>B8*$H$30</f>
        <v>6134.5461000000005</v>
      </c>
      <c r="C35" s="9">
        <f t="shared" ref="C35:F35" si="0">C8*$H$30</f>
        <v>6809.1240000000007</v>
      </c>
      <c r="D35" s="9">
        <f t="shared" si="0"/>
        <v>7449.3410999999996</v>
      </c>
      <c r="E35" s="9">
        <f t="shared" si="0"/>
        <v>7869.2308999999996</v>
      </c>
      <c r="F35" s="9">
        <f t="shared" si="0"/>
        <v>7972.5193000000008</v>
      </c>
      <c r="G35" s="9"/>
      <c r="H35" s="288">
        <v>0.32529000000000002</v>
      </c>
      <c r="K35" s="72" t="s">
        <v>99</v>
      </c>
      <c r="L35" s="73">
        <v>0.28000000000000003</v>
      </c>
      <c r="M35" s="73">
        <v>9.9500000000000005E-2</v>
      </c>
      <c r="N35" s="73">
        <v>0.28000000000000003</v>
      </c>
      <c r="O35" s="74">
        <v>9.9500000000000005E-2</v>
      </c>
    </row>
    <row r="36" spans="1:15" ht="15" thickBot="1" x14ac:dyDescent="0.35">
      <c r="A36" s="4" t="s">
        <v>16</v>
      </c>
      <c r="B36" s="9">
        <f t="shared" ref="B36:G36" si="1">B9*$H$30</f>
        <v>5027.0694999999996</v>
      </c>
      <c r="C36" s="9">
        <f t="shared" si="1"/>
        <v>5404.8425999999999</v>
      </c>
      <c r="D36" s="9">
        <f t="shared" si="1"/>
        <v>5604.4772000000003</v>
      </c>
      <c r="E36" s="9">
        <f t="shared" si="1"/>
        <v>6313.5292000000009</v>
      </c>
      <c r="F36" s="9">
        <f t="shared" si="1"/>
        <v>6850.4476000000004</v>
      </c>
      <c r="G36" s="9">
        <f t="shared" si="1"/>
        <v>7055.9634999999998</v>
      </c>
      <c r="H36" s="288">
        <v>0.32529000000000002</v>
      </c>
      <c r="K36" s="1"/>
    </row>
    <row r="37" spans="1:15" x14ac:dyDescent="0.3">
      <c r="A37" s="4" t="s">
        <v>17</v>
      </c>
      <c r="B37" s="9">
        <f t="shared" ref="B37:G37" si="2">B10*$H$30</f>
        <v>4551.4772999999996</v>
      </c>
      <c r="C37" s="9">
        <f t="shared" si="2"/>
        <v>4895.4355000000005</v>
      </c>
      <c r="D37" s="9">
        <f t="shared" si="2"/>
        <v>5177.6864000000005</v>
      </c>
      <c r="E37" s="9">
        <f t="shared" si="2"/>
        <v>5604.4772000000003</v>
      </c>
      <c r="F37" s="9">
        <f t="shared" si="2"/>
        <v>6258.4242000000004</v>
      </c>
      <c r="G37" s="9">
        <f t="shared" si="2"/>
        <v>6446.1829000000007</v>
      </c>
      <c r="H37" s="288">
        <v>0.32529000000000002</v>
      </c>
      <c r="K37" s="68" t="s">
        <v>100</v>
      </c>
      <c r="L37" s="75">
        <v>19</v>
      </c>
    </row>
    <row r="38" spans="1:15" ht="15" thickBot="1" x14ac:dyDescent="0.35">
      <c r="A38" s="4" t="s">
        <v>18</v>
      </c>
      <c r="B38" s="9"/>
      <c r="C38" s="9">
        <f t="shared" ref="C38:G38" si="3">C11*$H$30</f>
        <v>4516.8383999999996</v>
      </c>
      <c r="D38" s="9">
        <f t="shared" si="3"/>
        <v>4757.7759999999998</v>
      </c>
      <c r="E38" s="9">
        <f t="shared" si="3"/>
        <v>5604.4772000000003</v>
      </c>
      <c r="F38" s="9">
        <f t="shared" si="3"/>
        <v>6258.4242000000004</v>
      </c>
      <c r="G38" s="9">
        <f t="shared" si="3"/>
        <v>6446.1829000000007</v>
      </c>
      <c r="H38" s="288">
        <v>0.46471000000000001</v>
      </c>
      <c r="K38" s="72" t="s">
        <v>101</v>
      </c>
      <c r="L38" s="76">
        <v>4.3479999999999999</v>
      </c>
    </row>
    <row r="39" spans="1:15" ht="15" thickBot="1" x14ac:dyDescent="0.35">
      <c r="A39" s="4" t="s">
        <v>19</v>
      </c>
      <c r="B39" s="9">
        <f t="shared" ref="B39:G39" si="4">B12*$H$30</f>
        <v>4196.5290000000005</v>
      </c>
      <c r="C39" s="9">
        <f t="shared" si="4"/>
        <v>4516.8383999999996</v>
      </c>
      <c r="D39" s="9">
        <f t="shared" si="4"/>
        <v>4757.7759999999998</v>
      </c>
      <c r="E39" s="9">
        <f t="shared" si="4"/>
        <v>5225.8698000000004</v>
      </c>
      <c r="F39" s="9">
        <f t="shared" si="4"/>
        <v>5872.9364000000005</v>
      </c>
      <c r="G39" s="9">
        <f t="shared" si="4"/>
        <v>6049.1282000000001</v>
      </c>
      <c r="H39" s="288">
        <v>0.46471000000000001</v>
      </c>
      <c r="K39" s="77"/>
      <c r="L39" s="78"/>
    </row>
    <row r="40" spans="1:15" x14ac:dyDescent="0.3">
      <c r="A40" s="4" t="s">
        <v>20</v>
      </c>
      <c r="B40" s="9">
        <f t="shared" ref="B40:G40" si="5">B13*$H$30</f>
        <v>3782.2012</v>
      </c>
      <c r="C40" s="9">
        <f t="shared" si="5"/>
        <v>4048.7446000000004</v>
      </c>
      <c r="D40" s="9">
        <f t="shared" si="5"/>
        <v>4613.2155000000002</v>
      </c>
      <c r="E40" s="9">
        <f t="shared" si="5"/>
        <v>5108.8515000000007</v>
      </c>
      <c r="F40" s="9">
        <f t="shared" si="5"/>
        <v>5749.0376999999999</v>
      </c>
      <c r="G40" s="9">
        <f t="shared" si="5"/>
        <v>5921.5009</v>
      </c>
      <c r="H40" s="288">
        <v>0.46471000000000001</v>
      </c>
      <c r="K40" s="79" t="s">
        <v>102</v>
      </c>
      <c r="L40" s="69" t="s">
        <v>103</v>
      </c>
      <c r="M40" s="69" t="s">
        <v>104</v>
      </c>
      <c r="N40" s="70" t="s">
        <v>105</v>
      </c>
    </row>
    <row r="41" spans="1:15" x14ac:dyDescent="0.3">
      <c r="A41" s="4" t="s">
        <v>21</v>
      </c>
      <c r="B41" s="9">
        <f t="shared" ref="B41:G41" si="6">B14*$H$30</f>
        <v>3659.7445000000002</v>
      </c>
      <c r="C41" s="9">
        <f t="shared" si="6"/>
        <v>3905.9659999999999</v>
      </c>
      <c r="D41" s="9">
        <f t="shared" si="6"/>
        <v>4186.4144000000006</v>
      </c>
      <c r="E41" s="9">
        <f t="shared" si="6"/>
        <v>4613.2155000000002</v>
      </c>
      <c r="F41" s="9">
        <f t="shared" si="6"/>
        <v>5232.7605000000003</v>
      </c>
      <c r="G41" s="9">
        <f t="shared" si="6"/>
        <v>5389.7428</v>
      </c>
      <c r="H41" s="288">
        <v>0.74353000000000002</v>
      </c>
      <c r="K41" s="71" t="s">
        <v>106</v>
      </c>
      <c r="L41" s="80" t="s">
        <v>159</v>
      </c>
      <c r="M41" s="33">
        <v>10</v>
      </c>
      <c r="N41" s="81">
        <v>19</v>
      </c>
    </row>
    <row r="42" spans="1:15" ht="15" thickBot="1" x14ac:dyDescent="0.35">
      <c r="A42" s="4" t="s">
        <v>22</v>
      </c>
      <c r="B42" s="9">
        <f t="shared" ref="B42:G42" si="7">B15*$H$30</f>
        <v>3530.4795000000004</v>
      </c>
      <c r="C42" s="9">
        <f t="shared" si="7"/>
        <v>3772.0969</v>
      </c>
      <c r="D42" s="9">
        <f t="shared" si="7"/>
        <v>4048.7446000000004</v>
      </c>
      <c r="E42" s="9">
        <f t="shared" si="7"/>
        <v>4330.9646000000002</v>
      </c>
      <c r="F42" s="9">
        <f t="shared" si="7"/>
        <v>4867.9344999999994</v>
      </c>
      <c r="G42" s="9">
        <f t="shared" si="7"/>
        <v>5013.9781999999996</v>
      </c>
      <c r="H42" s="288">
        <v>0.74353000000000002</v>
      </c>
      <c r="K42" s="72" t="s">
        <v>107</v>
      </c>
      <c r="L42" s="82" t="s">
        <v>82</v>
      </c>
      <c r="M42" s="41">
        <v>8</v>
      </c>
      <c r="N42" s="83">
        <v>19</v>
      </c>
    </row>
    <row r="43" spans="1:15" x14ac:dyDescent="0.3">
      <c r="A43" s="4" t="s">
        <v>23</v>
      </c>
      <c r="B43" s="9">
        <f t="shared" ref="B43:G43" si="8">B16*$H$30</f>
        <v>3142.6947999999998</v>
      </c>
      <c r="C43" s="9">
        <f t="shared" si="8"/>
        <v>3375.6396000000004</v>
      </c>
      <c r="D43" s="9">
        <f t="shared" si="8"/>
        <v>3527.3895000000002</v>
      </c>
      <c r="E43" s="9">
        <f t="shared" si="8"/>
        <v>3946.7334000000005</v>
      </c>
      <c r="F43" s="9">
        <f t="shared" si="8"/>
        <v>4303.4430000000002</v>
      </c>
      <c r="G43" s="9">
        <f t="shared" si="8"/>
        <v>4432.5637999999999</v>
      </c>
      <c r="H43" s="288">
        <v>0.74353000000000002</v>
      </c>
    </row>
    <row r="44" spans="1:15" x14ac:dyDescent="0.3">
      <c r="A44" s="4" t="s">
        <v>24</v>
      </c>
      <c r="B44" s="9">
        <f t="shared" ref="B44:G44" si="9">B17*$H$30</f>
        <v>3142.6947999999998</v>
      </c>
      <c r="C44" s="9">
        <f t="shared" si="9"/>
        <v>3375.6396000000004</v>
      </c>
      <c r="D44" s="9">
        <f t="shared" si="9"/>
        <v>3426.2332000000001</v>
      </c>
      <c r="E44" s="9">
        <f t="shared" si="9"/>
        <v>3527.3895000000002</v>
      </c>
      <c r="F44" s="9">
        <f t="shared" si="9"/>
        <v>3946.7334000000005</v>
      </c>
      <c r="G44" s="9">
        <f t="shared" si="9"/>
        <v>4063.5045</v>
      </c>
      <c r="H44" s="288">
        <v>0.74353000000000002</v>
      </c>
    </row>
    <row r="45" spans="1:15" x14ac:dyDescent="0.3">
      <c r="A45" s="4" t="s">
        <v>25</v>
      </c>
      <c r="B45" s="9">
        <f t="shared" ref="B45:G45" si="10">B18*$H$30</f>
        <v>2952.1963000000001</v>
      </c>
      <c r="C45" s="9">
        <f t="shared" si="10"/>
        <v>3179.6512000000002</v>
      </c>
      <c r="D45" s="9">
        <f t="shared" si="10"/>
        <v>3306.0837000000001</v>
      </c>
      <c r="E45" s="9">
        <f t="shared" si="10"/>
        <v>3426.2332000000001</v>
      </c>
      <c r="F45" s="9">
        <f t="shared" si="10"/>
        <v>3559.0104999999999</v>
      </c>
      <c r="G45" s="9">
        <f t="shared" si="10"/>
        <v>3641.2045000000003</v>
      </c>
      <c r="H45" s="288">
        <v>0.88295000000000001</v>
      </c>
    </row>
    <row r="46" spans="1:15" x14ac:dyDescent="0.3">
      <c r="A46" s="4" t="s">
        <v>26</v>
      </c>
      <c r="B46" s="9">
        <f t="shared" ref="B46:G46" si="11">B19*$H$30</f>
        <v>2777.7452000000003</v>
      </c>
      <c r="C46" s="9">
        <f t="shared" si="11"/>
        <v>2999.875</v>
      </c>
      <c r="D46" s="9">
        <f t="shared" si="11"/>
        <v>3166.9925000000003</v>
      </c>
      <c r="E46" s="9">
        <f t="shared" si="11"/>
        <v>3293.4456</v>
      </c>
      <c r="F46" s="9">
        <f t="shared" si="11"/>
        <v>3394.6224999999999</v>
      </c>
      <c r="G46" s="9">
        <f t="shared" si="11"/>
        <v>3483.1201000000001</v>
      </c>
      <c r="H46" s="288">
        <v>0.88295000000000001</v>
      </c>
    </row>
    <row r="47" spans="1:15" x14ac:dyDescent="0.3">
      <c r="A47" s="4" t="s">
        <v>27</v>
      </c>
      <c r="B47" s="9">
        <f t="shared" ref="B47:G47" si="12">B20*$H$30</f>
        <v>2730.9626000000003</v>
      </c>
      <c r="C47" s="9">
        <f t="shared" si="12"/>
        <v>2950.8264000000004</v>
      </c>
      <c r="D47" s="9">
        <f t="shared" si="12"/>
        <v>3073.4582</v>
      </c>
      <c r="E47" s="9">
        <f t="shared" si="12"/>
        <v>3198.6238000000003</v>
      </c>
      <c r="F47" s="9">
        <f t="shared" si="12"/>
        <v>3280.7972</v>
      </c>
      <c r="G47" s="9">
        <f t="shared" si="12"/>
        <v>3369.3154</v>
      </c>
      <c r="H47" s="288">
        <v>0.88295000000000001</v>
      </c>
    </row>
    <row r="48" spans="1:15" x14ac:dyDescent="0.3">
      <c r="A48" s="4" t="s">
        <v>28</v>
      </c>
      <c r="B48" s="9">
        <f t="shared" ref="B48:G48" si="13">B21*$H$30</f>
        <v>2624.0279999999998</v>
      </c>
      <c r="C48" s="9">
        <f t="shared" si="13"/>
        <v>2840.4619000000002</v>
      </c>
      <c r="D48" s="9">
        <f t="shared" si="13"/>
        <v>2963.0936999999999</v>
      </c>
      <c r="E48" s="9">
        <f t="shared" si="13"/>
        <v>3079.5866999999998</v>
      </c>
      <c r="F48" s="9">
        <f t="shared" si="13"/>
        <v>3173.3166999999999</v>
      </c>
      <c r="G48" s="9">
        <f t="shared" si="13"/>
        <v>3236.5576700000001</v>
      </c>
      <c r="H48" s="288">
        <v>0.88295000000000001</v>
      </c>
    </row>
    <row r="49" spans="1:11" x14ac:dyDescent="0.3">
      <c r="A49" s="4" t="s">
        <v>29</v>
      </c>
      <c r="B49" s="9">
        <f t="shared" ref="B49:G49" si="14">B22*$H$30</f>
        <v>2505.5677000000001</v>
      </c>
      <c r="C49" s="9">
        <f t="shared" si="14"/>
        <v>2723.9791999999998</v>
      </c>
      <c r="D49" s="9">
        <f t="shared" si="14"/>
        <v>2877.2534999999998</v>
      </c>
      <c r="E49" s="9">
        <f t="shared" si="14"/>
        <v>2963.0936999999999</v>
      </c>
      <c r="F49" s="9">
        <f t="shared" si="14"/>
        <v>3049.6136999999999</v>
      </c>
      <c r="G49" s="9">
        <f t="shared" si="14"/>
        <v>3104.1109999999999</v>
      </c>
      <c r="H49" s="288">
        <v>0.88295000000000001</v>
      </c>
    </row>
    <row r="50" spans="1:11" x14ac:dyDescent="0.3">
      <c r="A50" s="4" t="s">
        <v>30</v>
      </c>
      <c r="B50" s="9">
        <f t="shared" ref="B50:G50" si="15">B23*$H$30</f>
        <v>2473.5965000000001</v>
      </c>
      <c r="C50" s="9">
        <f t="shared" si="15"/>
        <v>2687.1772999999998</v>
      </c>
      <c r="D50" s="9">
        <f t="shared" si="15"/>
        <v>2748.4932000000003</v>
      </c>
      <c r="E50" s="9">
        <f t="shared" si="15"/>
        <v>2846.5904</v>
      </c>
      <c r="F50" s="9">
        <f t="shared" si="15"/>
        <v>2926.3021000000003</v>
      </c>
      <c r="G50" s="9">
        <f t="shared" si="15"/>
        <v>2993.7465000000002</v>
      </c>
      <c r="H50" s="288">
        <v>0.88295000000000001</v>
      </c>
    </row>
    <row r="51" spans="1:11" x14ac:dyDescent="0.3">
      <c r="A51" s="4" t="s">
        <v>31</v>
      </c>
      <c r="B51" s="9">
        <f t="shared" ref="B51:G51" si="16">B24*$H$30</f>
        <v>2374.4693000000002</v>
      </c>
      <c r="C51" s="9">
        <f t="shared" si="16"/>
        <v>2582.9413</v>
      </c>
      <c r="D51" s="9">
        <f t="shared" si="16"/>
        <v>2662.6529999999998</v>
      </c>
      <c r="E51" s="9">
        <f t="shared" si="16"/>
        <v>2760.7708000000002</v>
      </c>
      <c r="F51" s="9">
        <f t="shared" si="16"/>
        <v>2828.2152000000001</v>
      </c>
      <c r="G51" s="9">
        <f t="shared" si="16"/>
        <v>2883.3717000000001</v>
      </c>
      <c r="H51" s="288">
        <v>0.88295000000000001</v>
      </c>
    </row>
    <row r="52" spans="1:11" x14ac:dyDescent="0.3">
      <c r="A52" s="4" t="s">
        <v>32</v>
      </c>
      <c r="B52" s="9">
        <f t="shared" ref="B52:G52" si="17">B25*$H$30</f>
        <v>2307.3236000000002</v>
      </c>
      <c r="C52" s="9">
        <f t="shared" si="17"/>
        <v>2509.3580999999999</v>
      </c>
      <c r="D52" s="9">
        <f t="shared" si="17"/>
        <v>2570.6842999999999</v>
      </c>
      <c r="E52" s="9">
        <f t="shared" si="17"/>
        <v>2631.9899</v>
      </c>
      <c r="F52" s="9">
        <f t="shared" si="17"/>
        <v>2773.0072</v>
      </c>
      <c r="G52" s="9">
        <f t="shared" si="17"/>
        <v>2920.1839</v>
      </c>
      <c r="H52" s="288">
        <v>0.88295000000000001</v>
      </c>
    </row>
    <row r="53" spans="1:11" x14ac:dyDescent="0.3">
      <c r="A53" s="4" t="s">
        <v>33</v>
      </c>
      <c r="B53" s="9"/>
      <c r="C53" s="9">
        <f t="shared" ref="C53:G53" si="18">C26*$H$30</f>
        <v>2098.5632000000001</v>
      </c>
      <c r="D53" s="9">
        <f t="shared" si="18"/>
        <v>2129.1954000000001</v>
      </c>
      <c r="E53" s="9">
        <f t="shared" si="18"/>
        <v>2165.9870000000001</v>
      </c>
      <c r="F53" s="9">
        <f t="shared" si="18"/>
        <v>2202.7889</v>
      </c>
      <c r="G53" s="9">
        <f t="shared" si="18"/>
        <v>2294.7575999999999</v>
      </c>
      <c r="H53" s="288">
        <v>0.88295000000000001</v>
      </c>
    </row>
    <row r="57" spans="1:11" s="2" customFormat="1" ht="21" x14ac:dyDescent="0.4">
      <c r="A57" s="3" t="s">
        <v>215</v>
      </c>
      <c r="B57"/>
      <c r="C57"/>
      <c r="D57" t="s">
        <v>169</v>
      </c>
      <c r="E57"/>
      <c r="F57"/>
      <c r="G57"/>
      <c r="H57">
        <v>1.03</v>
      </c>
    </row>
    <row r="59" spans="1:11" ht="28.8" x14ac:dyDescent="0.3">
      <c r="A59" s="278"/>
      <c r="B59" s="279" t="s">
        <v>0</v>
      </c>
      <c r="C59" s="280" t="s">
        <v>1</v>
      </c>
      <c r="D59" s="280"/>
      <c r="E59" s="278"/>
      <c r="F59" s="278"/>
      <c r="G59" s="278"/>
      <c r="H59" s="278"/>
    </row>
    <row r="60" spans="1:11" x14ac:dyDescent="0.3">
      <c r="A60" s="278"/>
      <c r="B60" s="278" t="s">
        <v>2</v>
      </c>
      <c r="C60" s="278" t="s">
        <v>3</v>
      </c>
      <c r="D60" s="278" t="s">
        <v>4</v>
      </c>
      <c r="E60" s="278" t="s">
        <v>5</v>
      </c>
      <c r="F60" s="278" t="s">
        <v>6</v>
      </c>
      <c r="G60" s="278" t="s">
        <v>7</v>
      </c>
      <c r="H60" s="281" t="s">
        <v>8</v>
      </c>
    </row>
    <row r="61" spans="1:11" ht="31.8" x14ac:dyDescent="0.3">
      <c r="A61" s="278" t="s">
        <v>9</v>
      </c>
      <c r="B61" s="282" t="s">
        <v>10</v>
      </c>
      <c r="C61" s="282" t="s">
        <v>11</v>
      </c>
      <c r="D61" s="282" t="s">
        <v>12</v>
      </c>
      <c r="E61" s="282" t="s">
        <v>13</v>
      </c>
      <c r="F61" s="282" t="s">
        <v>14</v>
      </c>
      <c r="G61" s="283"/>
      <c r="H61" s="284" t="s">
        <v>65</v>
      </c>
    </row>
    <row r="62" spans="1:11" x14ac:dyDescent="0.3">
      <c r="A62" s="278" t="s">
        <v>15</v>
      </c>
      <c r="B62" s="285">
        <f>B35*$H$57</f>
        <v>6318.582483000001</v>
      </c>
      <c r="C62" s="285">
        <f t="shared" ref="C62:F62" si="19">C35*$H$57</f>
        <v>7013.3977200000008</v>
      </c>
      <c r="D62" s="285">
        <f t="shared" si="19"/>
        <v>7672.8213329999999</v>
      </c>
      <c r="E62" s="285">
        <f t="shared" si="19"/>
        <v>8105.3078269999996</v>
      </c>
      <c r="F62" s="285">
        <f t="shared" si="19"/>
        <v>8211.6948790000006</v>
      </c>
      <c r="G62" s="285"/>
      <c r="H62" s="286">
        <v>0.32529000000000002</v>
      </c>
    </row>
    <row r="63" spans="1:11" x14ac:dyDescent="0.3">
      <c r="A63" s="278" t="s">
        <v>16</v>
      </c>
      <c r="B63" s="285">
        <f t="shared" ref="B63:G63" si="20">B36*$H$57</f>
        <v>5177.8815850000001</v>
      </c>
      <c r="C63" s="285">
        <f t="shared" si="20"/>
        <v>5566.9878779999999</v>
      </c>
      <c r="D63" s="285">
        <f t="shared" si="20"/>
        <v>5772.6115160000008</v>
      </c>
      <c r="E63" s="285">
        <f t="shared" si="20"/>
        <v>6502.9350760000007</v>
      </c>
      <c r="F63" s="285">
        <f t="shared" si="20"/>
        <v>7055.9610280000006</v>
      </c>
      <c r="G63" s="285">
        <f t="shared" si="20"/>
        <v>7267.6424049999996</v>
      </c>
      <c r="H63" s="286">
        <v>0.32529000000000002</v>
      </c>
    </row>
    <row r="64" spans="1:11" x14ac:dyDescent="0.3">
      <c r="A64" s="278" t="s">
        <v>17</v>
      </c>
      <c r="B64" s="285">
        <f t="shared" ref="B64:G64" si="21">B37*$H$57</f>
        <v>4688.0216190000001</v>
      </c>
      <c r="C64" s="285">
        <f t="shared" si="21"/>
        <v>5042.298565000001</v>
      </c>
      <c r="D64" s="285">
        <f t="shared" si="21"/>
        <v>5333.0169920000008</v>
      </c>
      <c r="E64" s="285">
        <f t="shared" si="21"/>
        <v>5772.6115160000008</v>
      </c>
      <c r="F64" s="285">
        <f t="shared" si="21"/>
        <v>6446.176926000001</v>
      </c>
      <c r="G64" s="285">
        <f t="shared" si="21"/>
        <v>6639.5683870000012</v>
      </c>
      <c r="H64" s="286">
        <v>0.32529000000000002</v>
      </c>
      <c r="K64" s="136"/>
    </row>
    <row r="65" spans="1:8" x14ac:dyDescent="0.3">
      <c r="A65" s="278" t="s">
        <v>18</v>
      </c>
      <c r="B65" s="285"/>
      <c r="C65" s="285">
        <f t="shared" ref="C65:G65" si="22">C38*$H$57</f>
        <v>4652.3435519999994</v>
      </c>
      <c r="D65" s="285">
        <f t="shared" si="22"/>
        <v>4900.5092800000002</v>
      </c>
      <c r="E65" s="285">
        <f t="shared" si="22"/>
        <v>5772.6115160000008</v>
      </c>
      <c r="F65" s="285">
        <f t="shared" si="22"/>
        <v>6446.176926000001</v>
      </c>
      <c r="G65" s="285">
        <f t="shared" si="22"/>
        <v>6639.5683870000012</v>
      </c>
      <c r="H65" s="286">
        <v>0.46471000000000001</v>
      </c>
    </row>
    <row r="66" spans="1:8" x14ac:dyDescent="0.3">
      <c r="A66" s="278" t="s">
        <v>19</v>
      </c>
      <c r="B66" s="285">
        <f t="shared" ref="B66:G66" si="23">B39*$H$57</f>
        <v>4322.4248700000007</v>
      </c>
      <c r="C66" s="285">
        <f t="shared" si="23"/>
        <v>4652.3435519999994</v>
      </c>
      <c r="D66" s="285">
        <f t="shared" si="23"/>
        <v>4900.5092800000002</v>
      </c>
      <c r="E66" s="285">
        <f t="shared" si="23"/>
        <v>5382.6458940000002</v>
      </c>
      <c r="F66" s="285">
        <f t="shared" si="23"/>
        <v>6049.1244920000008</v>
      </c>
      <c r="G66" s="285">
        <f t="shared" si="23"/>
        <v>6230.602046</v>
      </c>
      <c r="H66" s="286">
        <v>0.46471000000000001</v>
      </c>
    </row>
    <row r="67" spans="1:8" x14ac:dyDescent="0.3">
      <c r="A67" s="278" t="s">
        <v>20</v>
      </c>
      <c r="B67" s="285">
        <f t="shared" ref="B67:G67" si="24">B40*$H$57</f>
        <v>3895.6672360000002</v>
      </c>
      <c r="C67" s="285">
        <f t="shared" si="24"/>
        <v>4170.2069380000003</v>
      </c>
      <c r="D67" s="285">
        <f t="shared" si="24"/>
        <v>4751.6119650000001</v>
      </c>
      <c r="E67" s="285">
        <f t="shared" si="24"/>
        <v>5262.1170450000009</v>
      </c>
      <c r="F67" s="285">
        <f t="shared" si="24"/>
        <v>5921.5088310000001</v>
      </c>
      <c r="G67" s="285">
        <f t="shared" si="24"/>
        <v>6099.1459270000005</v>
      </c>
      <c r="H67" s="286">
        <v>0.46471000000000001</v>
      </c>
    </row>
    <row r="68" spans="1:8" x14ac:dyDescent="0.3">
      <c r="A68" s="278" t="s">
        <v>21</v>
      </c>
      <c r="B68" s="285">
        <f t="shared" ref="B68:G68" si="25">B41*$H$57</f>
        <v>3769.5368350000003</v>
      </c>
      <c r="C68" s="285">
        <f t="shared" si="25"/>
        <v>4023.14498</v>
      </c>
      <c r="D68" s="285">
        <f t="shared" si="25"/>
        <v>4312.0068320000009</v>
      </c>
      <c r="E68" s="285">
        <f t="shared" si="25"/>
        <v>4751.6119650000001</v>
      </c>
      <c r="F68" s="285">
        <f t="shared" si="25"/>
        <v>5389.7433150000006</v>
      </c>
      <c r="G68" s="285">
        <f t="shared" si="25"/>
        <v>5551.4350839999997</v>
      </c>
      <c r="H68" s="286">
        <v>0.74353000000000002</v>
      </c>
    </row>
    <row r="69" spans="1:8" x14ac:dyDescent="0.3">
      <c r="A69" s="278" t="s">
        <v>22</v>
      </c>
      <c r="B69" s="285">
        <f t="shared" ref="B69:G69" si="26">B42*$H$57</f>
        <v>3636.3938850000004</v>
      </c>
      <c r="C69" s="285">
        <f t="shared" si="26"/>
        <v>3885.2598069999999</v>
      </c>
      <c r="D69" s="285">
        <f t="shared" si="26"/>
        <v>4170.2069380000003</v>
      </c>
      <c r="E69" s="285">
        <f t="shared" si="26"/>
        <v>4460.8935380000003</v>
      </c>
      <c r="F69" s="285">
        <f t="shared" si="26"/>
        <v>5013.9725349999999</v>
      </c>
      <c r="G69" s="285">
        <f t="shared" si="26"/>
        <v>5164.3975459999992</v>
      </c>
      <c r="H69" s="286">
        <v>0.74353000000000002</v>
      </c>
    </row>
    <row r="70" spans="1:8" x14ac:dyDescent="0.3">
      <c r="A70" s="278" t="s">
        <v>23</v>
      </c>
      <c r="B70" s="285">
        <f t="shared" ref="B70:G70" si="27">B43*$H$57</f>
        <v>3236.9756439999996</v>
      </c>
      <c r="C70" s="285">
        <f t="shared" si="27"/>
        <v>3476.9087880000006</v>
      </c>
      <c r="D70" s="285">
        <f t="shared" si="27"/>
        <v>3633.2111850000001</v>
      </c>
      <c r="E70" s="285">
        <f t="shared" si="27"/>
        <v>4065.1354020000008</v>
      </c>
      <c r="F70" s="285">
        <f t="shared" si="27"/>
        <v>4432.5462900000002</v>
      </c>
      <c r="G70" s="285">
        <f t="shared" si="27"/>
        <v>4565.5407139999998</v>
      </c>
      <c r="H70" s="286">
        <v>0.74353000000000002</v>
      </c>
    </row>
    <row r="71" spans="1:8" x14ac:dyDescent="0.3">
      <c r="A71" s="278" t="s">
        <v>24</v>
      </c>
      <c r="B71" s="285">
        <f t="shared" ref="B71:G71" si="28">B44*$H$57</f>
        <v>3236.9756439999996</v>
      </c>
      <c r="C71" s="285">
        <f t="shared" si="28"/>
        <v>3476.9087880000006</v>
      </c>
      <c r="D71" s="285">
        <f t="shared" si="28"/>
        <v>3529.0201960000004</v>
      </c>
      <c r="E71" s="285">
        <f t="shared" si="28"/>
        <v>3633.2111850000001</v>
      </c>
      <c r="F71" s="285">
        <f t="shared" si="28"/>
        <v>4065.1354020000008</v>
      </c>
      <c r="G71" s="285">
        <f t="shared" si="28"/>
        <v>4185.409635</v>
      </c>
      <c r="H71" s="286">
        <v>0.74353000000000002</v>
      </c>
    </row>
    <row r="72" spans="1:8" x14ac:dyDescent="0.3">
      <c r="A72" s="278" t="s">
        <v>25</v>
      </c>
      <c r="B72" s="285">
        <f t="shared" ref="B72:G72" si="29">B45*$H$57</f>
        <v>3040.762189</v>
      </c>
      <c r="C72" s="285">
        <f t="shared" si="29"/>
        <v>3275.0407360000004</v>
      </c>
      <c r="D72" s="285">
        <f t="shared" si="29"/>
        <v>3405.2662110000001</v>
      </c>
      <c r="E72" s="285">
        <f t="shared" si="29"/>
        <v>3529.0201960000004</v>
      </c>
      <c r="F72" s="285">
        <f t="shared" si="29"/>
        <v>3665.7808150000001</v>
      </c>
      <c r="G72" s="285">
        <f t="shared" si="29"/>
        <v>3750.4406350000004</v>
      </c>
      <c r="H72" s="286">
        <v>0.88295000000000001</v>
      </c>
    </row>
    <row r="73" spans="1:8" x14ac:dyDescent="0.3">
      <c r="A73" s="278" t="s">
        <v>26</v>
      </c>
      <c r="B73" s="285">
        <f t="shared" ref="B73:G73" si="30">B46*$H$57</f>
        <v>2861.0775560000002</v>
      </c>
      <c r="C73" s="285">
        <f t="shared" si="30"/>
        <v>3089.8712500000001</v>
      </c>
      <c r="D73" s="285">
        <f t="shared" si="30"/>
        <v>3262.0022750000003</v>
      </c>
      <c r="E73" s="285">
        <f t="shared" si="30"/>
        <v>3392.2489679999999</v>
      </c>
      <c r="F73" s="285">
        <f t="shared" si="30"/>
        <v>3496.4611749999999</v>
      </c>
      <c r="G73" s="285">
        <f t="shared" si="30"/>
        <v>3587.613703</v>
      </c>
      <c r="H73" s="286">
        <v>0.88295000000000001</v>
      </c>
    </row>
    <row r="74" spans="1:8" x14ac:dyDescent="0.3">
      <c r="A74" s="278" t="s">
        <v>27</v>
      </c>
      <c r="B74" s="285">
        <f t="shared" ref="B74:G74" si="31">B47*$H$57</f>
        <v>2812.8914780000005</v>
      </c>
      <c r="C74" s="285">
        <f t="shared" si="31"/>
        <v>3039.3511920000005</v>
      </c>
      <c r="D74" s="285">
        <f t="shared" si="31"/>
        <v>3165.6619460000002</v>
      </c>
      <c r="E74" s="285">
        <f t="shared" si="31"/>
        <v>3294.5825140000002</v>
      </c>
      <c r="F74" s="285">
        <f t="shared" si="31"/>
        <v>3379.2211160000002</v>
      </c>
      <c r="G74" s="285">
        <f t="shared" si="31"/>
        <v>3470.3948620000001</v>
      </c>
      <c r="H74" s="286">
        <v>0.88295000000000001</v>
      </c>
    </row>
    <row r="75" spans="1:8" x14ac:dyDescent="0.3">
      <c r="A75" s="278" t="s">
        <v>28</v>
      </c>
      <c r="B75" s="285">
        <f t="shared" ref="B75:G75" si="32">B48*$H$57</f>
        <v>2702.7488399999997</v>
      </c>
      <c r="C75" s="285">
        <f t="shared" si="32"/>
        <v>2925.6757570000004</v>
      </c>
      <c r="D75" s="285">
        <f t="shared" si="32"/>
        <v>3051.9865110000001</v>
      </c>
      <c r="E75" s="285">
        <f t="shared" si="32"/>
        <v>3171.9743009999997</v>
      </c>
      <c r="F75" s="285">
        <f t="shared" si="32"/>
        <v>3268.5162009999999</v>
      </c>
      <c r="G75" s="285">
        <f t="shared" si="32"/>
        <v>3333.6544001000002</v>
      </c>
      <c r="H75" s="286">
        <v>0.88295000000000001</v>
      </c>
    </row>
    <row r="76" spans="1:8" x14ac:dyDescent="0.3">
      <c r="A76" s="278" t="s">
        <v>29</v>
      </c>
      <c r="B76" s="285">
        <f t="shared" ref="B76:G76" si="33">B49*$H$57</f>
        <v>2580.734731</v>
      </c>
      <c r="C76" s="285">
        <f t="shared" si="33"/>
        <v>2805.6985759999998</v>
      </c>
      <c r="D76" s="285">
        <f t="shared" si="33"/>
        <v>2963.571105</v>
      </c>
      <c r="E76" s="285">
        <f t="shared" si="33"/>
        <v>3051.9865110000001</v>
      </c>
      <c r="F76" s="285">
        <f t="shared" si="33"/>
        <v>3141.1021110000001</v>
      </c>
      <c r="G76" s="285">
        <f t="shared" si="33"/>
        <v>3197.2343299999998</v>
      </c>
      <c r="H76" s="286">
        <v>0.88295000000000001</v>
      </c>
    </row>
    <row r="77" spans="1:8" x14ac:dyDescent="0.3">
      <c r="A77" s="278" t="s">
        <v>30</v>
      </c>
      <c r="B77" s="285">
        <f t="shared" ref="B77:G77" si="34">B50*$H$57</f>
        <v>2547.8043950000001</v>
      </c>
      <c r="C77" s="285">
        <f t="shared" si="34"/>
        <v>2767.7926189999998</v>
      </c>
      <c r="D77" s="285">
        <f t="shared" si="34"/>
        <v>2830.9479960000003</v>
      </c>
      <c r="E77" s="285">
        <f t="shared" si="34"/>
        <v>2931.988112</v>
      </c>
      <c r="F77" s="285">
        <f t="shared" si="34"/>
        <v>3014.0911630000005</v>
      </c>
      <c r="G77" s="285">
        <f t="shared" si="34"/>
        <v>3083.5588950000001</v>
      </c>
      <c r="H77" s="286">
        <v>0.88295000000000001</v>
      </c>
    </row>
    <row r="78" spans="1:8" x14ac:dyDescent="0.3">
      <c r="A78" s="278" t="s">
        <v>31</v>
      </c>
      <c r="B78" s="285">
        <f t="shared" ref="B78:G78" si="35">B51*$H$57</f>
        <v>2445.7033790000005</v>
      </c>
      <c r="C78" s="285">
        <f t="shared" si="35"/>
        <v>2660.4295390000002</v>
      </c>
      <c r="D78" s="285">
        <f t="shared" si="35"/>
        <v>2742.5325899999998</v>
      </c>
      <c r="E78" s="285">
        <f t="shared" si="35"/>
        <v>2843.5939240000002</v>
      </c>
      <c r="F78" s="285">
        <f t="shared" si="35"/>
        <v>2913.0616560000003</v>
      </c>
      <c r="G78" s="285">
        <f t="shared" si="35"/>
        <v>2969.8728510000001</v>
      </c>
      <c r="H78" s="286">
        <v>0.88295000000000001</v>
      </c>
    </row>
    <row r="79" spans="1:8" x14ac:dyDescent="0.3">
      <c r="A79" s="278" t="s">
        <v>32</v>
      </c>
      <c r="B79" s="285">
        <f t="shared" ref="B79:G79" si="36">B52*$H$57</f>
        <v>2376.5433080000003</v>
      </c>
      <c r="C79" s="285">
        <f t="shared" si="36"/>
        <v>2584.6388430000002</v>
      </c>
      <c r="D79" s="285">
        <f t="shared" si="36"/>
        <v>2647.8048290000002</v>
      </c>
      <c r="E79" s="285">
        <f t="shared" si="36"/>
        <v>2710.9495970000003</v>
      </c>
      <c r="F79" s="285">
        <f t="shared" si="36"/>
        <v>2856.197416</v>
      </c>
      <c r="G79" s="285">
        <f t="shared" si="36"/>
        <v>3007.789417</v>
      </c>
      <c r="H79" s="286">
        <v>0.88295000000000001</v>
      </c>
    </row>
    <row r="80" spans="1:8" x14ac:dyDescent="0.3">
      <c r="A80" s="278" t="s">
        <v>33</v>
      </c>
      <c r="B80" s="285"/>
      <c r="C80" s="285">
        <f t="shared" ref="C80:G80" si="37">C53*$H$57</f>
        <v>2161.5200960000002</v>
      </c>
      <c r="D80" s="285">
        <f t="shared" si="37"/>
        <v>2193.0712619999999</v>
      </c>
      <c r="E80" s="285">
        <f t="shared" si="37"/>
        <v>2230.9666099999999</v>
      </c>
      <c r="F80" s="285">
        <f t="shared" si="37"/>
        <v>2268.8725669999999</v>
      </c>
      <c r="G80" s="285">
        <f t="shared" si="37"/>
        <v>2363.600328</v>
      </c>
      <c r="H80" s="286">
        <v>0.88295000000000001</v>
      </c>
    </row>
    <row r="84" spans="1:8" ht="21" x14ac:dyDescent="0.4">
      <c r="A84" s="3" t="s">
        <v>216</v>
      </c>
      <c r="D84" t="s">
        <v>169</v>
      </c>
      <c r="H84">
        <v>1.03</v>
      </c>
    </row>
    <row r="86" spans="1:8" ht="28.8" x14ac:dyDescent="0.3">
      <c r="A86" s="181"/>
      <c r="B86" s="182" t="s">
        <v>0</v>
      </c>
      <c r="C86" s="277" t="s">
        <v>1</v>
      </c>
      <c r="D86" s="277"/>
      <c r="E86" s="181"/>
      <c r="F86" s="181"/>
      <c r="G86" s="181"/>
      <c r="H86" s="181"/>
    </row>
    <row r="87" spans="1:8" x14ac:dyDescent="0.3">
      <c r="A87" s="181"/>
      <c r="B87" s="181" t="s">
        <v>2</v>
      </c>
      <c r="C87" s="181" t="s">
        <v>3</v>
      </c>
      <c r="D87" s="181" t="s">
        <v>4</v>
      </c>
      <c r="E87" s="181" t="s">
        <v>5</v>
      </c>
      <c r="F87" s="181" t="s">
        <v>6</v>
      </c>
      <c r="G87" s="181" t="s">
        <v>7</v>
      </c>
      <c r="H87" s="183" t="s">
        <v>8</v>
      </c>
    </row>
    <row r="88" spans="1:8" ht="31.8" x14ac:dyDescent="0.3">
      <c r="A88" s="181" t="s">
        <v>9</v>
      </c>
      <c r="B88" s="184" t="s">
        <v>10</v>
      </c>
      <c r="C88" s="184" t="s">
        <v>11</v>
      </c>
      <c r="D88" s="184" t="s">
        <v>12</v>
      </c>
      <c r="E88" s="184" t="s">
        <v>13</v>
      </c>
      <c r="F88" s="184" t="s">
        <v>14</v>
      </c>
      <c r="G88" s="185"/>
      <c r="H88" s="186" t="s">
        <v>65</v>
      </c>
    </row>
    <row r="89" spans="1:8" x14ac:dyDescent="0.3">
      <c r="A89" s="181" t="s">
        <v>15</v>
      </c>
      <c r="B89" s="187">
        <f>B62*$H$84</f>
        <v>6508.1399574900015</v>
      </c>
      <c r="C89" s="187">
        <f t="shared" ref="C89:F89" si="38">C62*$H$84</f>
        <v>7223.7996516000012</v>
      </c>
      <c r="D89" s="187">
        <f t="shared" si="38"/>
        <v>7903.0059729900004</v>
      </c>
      <c r="E89" s="187">
        <f t="shared" si="38"/>
        <v>8348.467061809999</v>
      </c>
      <c r="F89" s="187">
        <f t="shared" si="38"/>
        <v>8458.0457253700006</v>
      </c>
      <c r="G89" s="187"/>
      <c r="H89" s="188">
        <v>0.32529000000000002</v>
      </c>
    </row>
    <row r="90" spans="1:8" x14ac:dyDescent="0.3">
      <c r="A90" s="181" t="s">
        <v>16</v>
      </c>
      <c r="B90" s="187">
        <f t="shared" ref="B90:G90" si="39">B63*$H$84</f>
        <v>5333.2180325500003</v>
      </c>
      <c r="C90" s="187">
        <f t="shared" si="39"/>
        <v>5733.9975143399997</v>
      </c>
      <c r="D90" s="187">
        <f t="shared" si="39"/>
        <v>5945.7898614800006</v>
      </c>
      <c r="E90" s="187">
        <f t="shared" si="39"/>
        <v>6698.0231282800005</v>
      </c>
      <c r="F90" s="187">
        <f t="shared" si="39"/>
        <v>7267.6398588400007</v>
      </c>
      <c r="G90" s="187">
        <f t="shared" si="39"/>
        <v>7485.6716771499996</v>
      </c>
      <c r="H90" s="188">
        <v>0.32529000000000002</v>
      </c>
    </row>
    <row r="91" spans="1:8" x14ac:dyDescent="0.3">
      <c r="A91" s="181" t="s">
        <v>17</v>
      </c>
      <c r="B91" s="187">
        <f t="shared" ref="B91:G91" si="40">B64*$H$84</f>
        <v>4828.66226757</v>
      </c>
      <c r="C91" s="187">
        <f t="shared" si="40"/>
        <v>5193.5675219500008</v>
      </c>
      <c r="D91" s="187">
        <f t="shared" si="40"/>
        <v>5493.0075017600011</v>
      </c>
      <c r="E91" s="187">
        <f t="shared" si="40"/>
        <v>5945.7898614800006</v>
      </c>
      <c r="F91" s="187">
        <f t="shared" si="40"/>
        <v>6639.5622337800014</v>
      </c>
      <c r="G91" s="187">
        <f t="shared" si="40"/>
        <v>6838.755438610001</v>
      </c>
      <c r="H91" s="188">
        <v>0.32529000000000002</v>
      </c>
    </row>
    <row r="92" spans="1:8" x14ac:dyDescent="0.3">
      <c r="A92" s="181" t="s">
        <v>18</v>
      </c>
      <c r="B92" s="187"/>
      <c r="C92" s="187">
        <f t="shared" ref="C92:G92" si="41">C65*$H$84</f>
        <v>4791.9138585599994</v>
      </c>
      <c r="D92" s="187">
        <f t="shared" si="41"/>
        <v>5047.5245584000004</v>
      </c>
      <c r="E92" s="187">
        <f t="shared" si="41"/>
        <v>5945.7898614800006</v>
      </c>
      <c r="F92" s="187">
        <f t="shared" si="41"/>
        <v>6639.5622337800014</v>
      </c>
      <c r="G92" s="187">
        <f t="shared" si="41"/>
        <v>6838.755438610001</v>
      </c>
      <c r="H92" s="188">
        <v>0.46471000000000001</v>
      </c>
    </row>
    <row r="93" spans="1:8" x14ac:dyDescent="0.3">
      <c r="A93" s="181" t="s">
        <v>19</v>
      </c>
      <c r="B93" s="187">
        <f t="shared" ref="B93:G93" si="42">B66*$H$84</f>
        <v>4452.0976161000008</v>
      </c>
      <c r="C93" s="187">
        <f t="shared" si="42"/>
        <v>4791.9138585599994</v>
      </c>
      <c r="D93" s="187">
        <f t="shared" si="42"/>
        <v>5047.5245584000004</v>
      </c>
      <c r="E93" s="187">
        <f t="shared" si="42"/>
        <v>5544.12527082</v>
      </c>
      <c r="F93" s="187">
        <f t="shared" si="42"/>
        <v>6230.5982267600011</v>
      </c>
      <c r="G93" s="187">
        <f t="shared" si="42"/>
        <v>6417.5201073799999</v>
      </c>
      <c r="H93" s="188">
        <v>0.46471000000000001</v>
      </c>
    </row>
    <row r="94" spans="1:8" x14ac:dyDescent="0.3">
      <c r="A94" s="181" t="s">
        <v>20</v>
      </c>
      <c r="B94" s="187">
        <f t="shared" ref="B94:G94" si="43">B67*$H$84</f>
        <v>4012.5372530800005</v>
      </c>
      <c r="C94" s="187">
        <f t="shared" si="43"/>
        <v>4295.3131461400008</v>
      </c>
      <c r="D94" s="187">
        <f t="shared" si="43"/>
        <v>4894.16032395</v>
      </c>
      <c r="E94" s="187">
        <f t="shared" si="43"/>
        <v>5419.9805563500013</v>
      </c>
      <c r="F94" s="187">
        <f t="shared" si="43"/>
        <v>6099.15409593</v>
      </c>
      <c r="G94" s="187">
        <f t="shared" si="43"/>
        <v>6282.1203048100006</v>
      </c>
      <c r="H94" s="188">
        <v>0.46471000000000001</v>
      </c>
    </row>
    <row r="95" spans="1:8" x14ac:dyDescent="0.3">
      <c r="A95" s="181" t="s">
        <v>21</v>
      </c>
      <c r="B95" s="187">
        <f t="shared" ref="B95:G95" si="44">B68*$H$84</f>
        <v>3882.6229400500006</v>
      </c>
      <c r="C95" s="187">
        <f t="shared" si="44"/>
        <v>4143.8393293999998</v>
      </c>
      <c r="D95" s="187">
        <f t="shared" si="44"/>
        <v>4441.3670369600013</v>
      </c>
      <c r="E95" s="187">
        <f t="shared" si="44"/>
        <v>4894.16032395</v>
      </c>
      <c r="F95" s="187">
        <f t="shared" si="44"/>
        <v>5551.4356144500007</v>
      </c>
      <c r="G95" s="187">
        <f t="shared" si="44"/>
        <v>5717.9781365199997</v>
      </c>
      <c r="H95" s="188">
        <v>0.74353000000000002</v>
      </c>
    </row>
    <row r="96" spans="1:8" x14ac:dyDescent="0.3">
      <c r="A96" s="181" t="s">
        <v>22</v>
      </c>
      <c r="B96" s="187">
        <f t="shared" ref="B96:G96" si="45">B69*$H$84</f>
        <v>3745.4857015500006</v>
      </c>
      <c r="C96" s="187">
        <f t="shared" si="45"/>
        <v>4001.8176012099998</v>
      </c>
      <c r="D96" s="187">
        <f t="shared" si="45"/>
        <v>4295.3131461400008</v>
      </c>
      <c r="E96" s="187">
        <f t="shared" si="45"/>
        <v>4594.7203441400006</v>
      </c>
      <c r="F96" s="187">
        <f t="shared" si="45"/>
        <v>5164.3917110499997</v>
      </c>
      <c r="G96" s="187">
        <f t="shared" si="45"/>
        <v>5319.3294723799991</v>
      </c>
      <c r="H96" s="188">
        <v>0.74353000000000002</v>
      </c>
    </row>
    <row r="97" spans="1:8" x14ac:dyDescent="0.3">
      <c r="A97" s="181" t="s">
        <v>23</v>
      </c>
      <c r="B97" s="187">
        <f t="shared" ref="B97:G97" si="46">B70*$H$84</f>
        <v>3334.0849133199999</v>
      </c>
      <c r="C97" s="187">
        <f t="shared" si="46"/>
        <v>3581.2160516400008</v>
      </c>
      <c r="D97" s="187">
        <f t="shared" si="46"/>
        <v>3742.20752055</v>
      </c>
      <c r="E97" s="187">
        <f t="shared" si="46"/>
        <v>4187.0894640600009</v>
      </c>
      <c r="F97" s="187">
        <f t="shared" si="46"/>
        <v>4565.5226787000001</v>
      </c>
      <c r="G97" s="187">
        <f t="shared" si="46"/>
        <v>4702.5069354199995</v>
      </c>
      <c r="H97" s="188">
        <v>0.74353000000000002</v>
      </c>
    </row>
    <row r="98" spans="1:8" x14ac:dyDescent="0.3">
      <c r="A98" s="181" t="s">
        <v>24</v>
      </c>
      <c r="B98" s="187">
        <f t="shared" ref="B98:G98" si="47">B71*$H$84</f>
        <v>3334.0849133199999</v>
      </c>
      <c r="C98" s="187">
        <f t="shared" si="47"/>
        <v>3581.2160516400008</v>
      </c>
      <c r="D98" s="187">
        <f t="shared" si="47"/>
        <v>3634.8908018800007</v>
      </c>
      <c r="E98" s="187">
        <f t="shared" si="47"/>
        <v>3742.20752055</v>
      </c>
      <c r="F98" s="187">
        <f t="shared" si="47"/>
        <v>4187.0894640600009</v>
      </c>
      <c r="G98" s="187">
        <f t="shared" si="47"/>
        <v>4310.9719240499999</v>
      </c>
      <c r="H98" s="188">
        <v>0.74353000000000002</v>
      </c>
    </row>
    <row r="99" spans="1:8" x14ac:dyDescent="0.3">
      <c r="A99" s="181" t="s">
        <v>25</v>
      </c>
      <c r="B99" s="187">
        <f t="shared" ref="B99:G99" si="48">B72*$H$84</f>
        <v>3131.98505467</v>
      </c>
      <c r="C99" s="187">
        <f t="shared" si="48"/>
        <v>3373.2919580800003</v>
      </c>
      <c r="D99" s="187">
        <f t="shared" si="48"/>
        <v>3507.4241973300004</v>
      </c>
      <c r="E99" s="187">
        <f t="shared" si="48"/>
        <v>3634.8908018800007</v>
      </c>
      <c r="F99" s="187">
        <f t="shared" si="48"/>
        <v>3775.7542394500001</v>
      </c>
      <c r="G99" s="187">
        <f t="shared" si="48"/>
        <v>3862.9538540500007</v>
      </c>
      <c r="H99" s="188">
        <v>0.88295000000000001</v>
      </c>
    </row>
    <row r="100" spans="1:8" x14ac:dyDescent="0.3">
      <c r="A100" s="181" t="s">
        <v>26</v>
      </c>
      <c r="B100" s="187">
        <f t="shared" ref="B100:G100" si="49">B73*$H$84</f>
        <v>2946.9098826800005</v>
      </c>
      <c r="C100" s="187">
        <f t="shared" si="49"/>
        <v>3182.5673875000002</v>
      </c>
      <c r="D100" s="187">
        <f t="shared" si="49"/>
        <v>3359.8623432500003</v>
      </c>
      <c r="E100" s="187">
        <f t="shared" si="49"/>
        <v>3494.0164370399998</v>
      </c>
      <c r="F100" s="187">
        <f t="shared" si="49"/>
        <v>3601.3550102499999</v>
      </c>
      <c r="G100" s="187">
        <f t="shared" si="49"/>
        <v>3695.2421140900001</v>
      </c>
      <c r="H100" s="188">
        <v>0.88295000000000001</v>
      </c>
    </row>
    <row r="101" spans="1:8" x14ac:dyDescent="0.3">
      <c r="A101" s="181" t="s">
        <v>27</v>
      </c>
      <c r="B101" s="187">
        <f t="shared" ref="B101:G101" si="50">B74*$H$84</f>
        <v>2897.2782223400004</v>
      </c>
      <c r="C101" s="187">
        <f t="shared" si="50"/>
        <v>3130.5317277600006</v>
      </c>
      <c r="D101" s="187">
        <f t="shared" si="50"/>
        <v>3260.6318043800002</v>
      </c>
      <c r="E101" s="187">
        <f t="shared" si="50"/>
        <v>3393.4199894200001</v>
      </c>
      <c r="F101" s="187">
        <f t="shared" si="50"/>
        <v>3480.5977494800004</v>
      </c>
      <c r="G101" s="187">
        <f t="shared" si="50"/>
        <v>3574.50670786</v>
      </c>
      <c r="H101" s="188">
        <v>0.88295000000000001</v>
      </c>
    </row>
    <row r="102" spans="1:8" x14ac:dyDescent="0.3">
      <c r="A102" s="181" t="s">
        <v>28</v>
      </c>
      <c r="B102" s="187">
        <f t="shared" ref="B102:G102" si="51">B75*$H$84</f>
        <v>2783.8313051999999</v>
      </c>
      <c r="C102" s="187">
        <f t="shared" si="51"/>
        <v>3013.4460297100004</v>
      </c>
      <c r="D102" s="187">
        <f t="shared" si="51"/>
        <v>3143.5461063299999</v>
      </c>
      <c r="E102" s="187">
        <f t="shared" si="51"/>
        <v>3267.1335300299997</v>
      </c>
      <c r="F102" s="187">
        <f t="shared" si="51"/>
        <v>3366.5716870299998</v>
      </c>
      <c r="G102" s="187">
        <f t="shared" si="51"/>
        <v>3433.6640321030004</v>
      </c>
      <c r="H102" s="188">
        <v>0.88295000000000001</v>
      </c>
    </row>
    <row r="103" spans="1:8" x14ac:dyDescent="0.3">
      <c r="A103" s="181" t="s">
        <v>29</v>
      </c>
      <c r="B103" s="187">
        <f t="shared" ref="B103:G103" si="52">B76*$H$84</f>
        <v>2658.15677293</v>
      </c>
      <c r="C103" s="187">
        <f t="shared" si="52"/>
        <v>2889.8695332799998</v>
      </c>
      <c r="D103" s="187">
        <f t="shared" si="52"/>
        <v>3052.4782381499999</v>
      </c>
      <c r="E103" s="187">
        <f t="shared" si="52"/>
        <v>3143.5461063299999</v>
      </c>
      <c r="F103" s="187">
        <f t="shared" si="52"/>
        <v>3235.3351743300004</v>
      </c>
      <c r="G103" s="187">
        <f t="shared" si="52"/>
        <v>3293.1513599</v>
      </c>
      <c r="H103" s="188">
        <v>0.88295000000000001</v>
      </c>
    </row>
    <row r="104" spans="1:8" x14ac:dyDescent="0.3">
      <c r="A104" s="181" t="s">
        <v>30</v>
      </c>
      <c r="B104" s="187">
        <f t="shared" ref="B104:G104" si="53">B77*$H$84</f>
        <v>2624.2385268500002</v>
      </c>
      <c r="C104" s="187">
        <f t="shared" si="53"/>
        <v>2850.8263975699997</v>
      </c>
      <c r="D104" s="187">
        <f t="shared" si="53"/>
        <v>2915.8764358800004</v>
      </c>
      <c r="E104" s="187">
        <f t="shared" si="53"/>
        <v>3019.94775536</v>
      </c>
      <c r="F104" s="187">
        <f t="shared" si="53"/>
        <v>3104.5138978900004</v>
      </c>
      <c r="G104" s="187">
        <f t="shared" si="53"/>
        <v>3176.0656618500002</v>
      </c>
      <c r="H104" s="188">
        <v>0.88295000000000001</v>
      </c>
    </row>
    <row r="105" spans="1:8" x14ac:dyDescent="0.3">
      <c r="A105" s="181" t="s">
        <v>31</v>
      </c>
      <c r="B105" s="187">
        <f t="shared" ref="B105:G105" si="54">B78*$H$84</f>
        <v>2519.0744803700004</v>
      </c>
      <c r="C105" s="187">
        <f t="shared" si="54"/>
        <v>2740.2424251700004</v>
      </c>
      <c r="D105" s="187">
        <f t="shared" si="54"/>
        <v>2824.8085676999999</v>
      </c>
      <c r="E105" s="187">
        <f t="shared" si="54"/>
        <v>2928.9017417200002</v>
      </c>
      <c r="F105" s="187">
        <f t="shared" si="54"/>
        <v>3000.4535056800005</v>
      </c>
      <c r="G105" s="187">
        <f t="shared" si="54"/>
        <v>3058.9690365300003</v>
      </c>
      <c r="H105" s="188">
        <v>0.88295000000000001</v>
      </c>
    </row>
    <row r="106" spans="1:8" x14ac:dyDescent="0.3">
      <c r="A106" s="181" t="s">
        <v>32</v>
      </c>
      <c r="B106" s="187">
        <f t="shared" ref="B106:G106" si="55">B79*$H$84</f>
        <v>2447.8396072400005</v>
      </c>
      <c r="C106" s="187">
        <f t="shared" si="55"/>
        <v>2662.1780082900004</v>
      </c>
      <c r="D106" s="187">
        <f t="shared" si="55"/>
        <v>2727.2389738700003</v>
      </c>
      <c r="E106" s="187">
        <f t="shared" si="55"/>
        <v>2792.2780849100004</v>
      </c>
      <c r="F106" s="187">
        <f t="shared" si="55"/>
        <v>2941.88333848</v>
      </c>
      <c r="G106" s="187">
        <f t="shared" si="55"/>
        <v>3098.0230995100001</v>
      </c>
      <c r="H106" s="188">
        <v>0.88295000000000001</v>
      </c>
    </row>
    <row r="107" spans="1:8" x14ac:dyDescent="0.3">
      <c r="A107" s="181" t="s">
        <v>33</v>
      </c>
      <c r="B107" s="187"/>
      <c r="C107" s="187">
        <f t="shared" ref="C107:G107" si="56">C80*$H$84</f>
        <v>2226.3656988800003</v>
      </c>
      <c r="D107" s="187">
        <f t="shared" si="56"/>
        <v>2258.8633998599998</v>
      </c>
      <c r="E107" s="187">
        <f t="shared" si="56"/>
        <v>2297.8956082999998</v>
      </c>
      <c r="F107" s="187">
        <f t="shared" si="56"/>
        <v>2336.9387440099999</v>
      </c>
      <c r="G107" s="187">
        <f t="shared" si="56"/>
        <v>2434.50833784</v>
      </c>
      <c r="H107" s="188">
        <v>0.88295000000000001</v>
      </c>
    </row>
  </sheetData>
  <sheetProtection algorithmName="SHA-512" hashValue="+NV1GrJt/jIfsh13jghoRmvfHL3/uEd3GDvP4pkG1zNq5o2zhIf8y5eo5vRFGy5beBLHHzflkSYJbiGqw/NKug==" saltValue="ezAJ9w1PSP48OQxZ5nwi0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Standard</vt:lpstr>
      <vt:lpstr>AIF-IGF</vt:lpstr>
      <vt:lpstr>EFRE</vt:lpstr>
      <vt:lpstr>EU H2020</vt:lpstr>
      <vt:lpstr>Interreg</vt:lpstr>
      <vt:lpstr> ZIM ab 2021</vt:lpstr>
      <vt:lpstr>SHK u. WHK</vt:lpstr>
      <vt:lpstr>Quelle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Kaminski, Karla</dc:creator>
  <cp:lastModifiedBy>Friess, Jessica</cp:lastModifiedBy>
  <cp:lastPrinted>2019-05-09T14:06:32Z</cp:lastPrinted>
  <dcterms:created xsi:type="dcterms:W3CDTF">2019-04-02T09:54:28Z</dcterms:created>
  <dcterms:modified xsi:type="dcterms:W3CDTF">2021-01-22T13:45:27Z</dcterms:modified>
</cp:coreProperties>
</file>